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verint-my.sharepoint.com/personal/matthew_frankel_verint_com/Documents/Desktop/IR/Financial Dashboard/FY25/Inv Day - Jan 2025/"/>
    </mc:Choice>
  </mc:AlternateContent>
  <xr:revisionPtr revIDLastSave="0" documentId="8_{05FC571C-F5CC-42DF-AC3A-0578BED888E7}" xr6:coauthVersionLast="47" xr6:coauthVersionMax="47" xr10:uidLastSave="{00000000-0000-0000-0000-000000000000}"/>
  <bookViews>
    <workbookView xWindow="57480" yWindow="9885" windowWidth="29040" windowHeight="15720" tabRatio="951" xr2:uid="{0D4002E5-4B8A-4A75-A860-78F6C0111ACB}"/>
  </bookViews>
  <sheets>
    <sheet name="Table of Contents" sheetId="1" r:id="rId1"/>
    <sheet name="Subscription KPIs" sheetId="18" r:id="rId2"/>
    <sheet name="Cash Generation Model" sheetId="22" r:id="rId3"/>
    <sheet name="Summary P&amp;L" sheetId="15" r:id="rId4"/>
    <sheet name="Recurring Summary" sheetId="16" r:id="rId5"/>
    <sheet name="Nonrecurring Summary" sheetId="17" r:id="rId6"/>
    <sheet name="Constant Currency" sheetId="4" r:id="rId7"/>
    <sheet name="Gross Profit" sheetId="6" r:id="rId8"/>
    <sheet name="Operating Expenses" sheetId="7" r:id="rId9"/>
    <sheet name="Operating Margins" sheetId="8" r:id="rId10"/>
    <sheet name="EBITDA Margins" sheetId="14" r:id="rId11"/>
    <sheet name="Other Expense, Tax &amp; NI" sheetId="11" r:id="rId12"/>
    <sheet name="EPS &amp; DSO" sheetId="12" r:id="rId13"/>
    <sheet name="Debt" sheetId="13" r:id="rId14"/>
    <sheet name="Divestiture Revenue" sheetId="21" r:id="rId15"/>
    <sheet name="&gt;&gt;&gt;" sheetId="19" r:id="rId16"/>
    <sheet name="Revenue Metrics Reconciliation" sheetId="3" r:id="rId17"/>
    <sheet name="SaaS Revenue Reconciliation" sheetId="5" r:id="rId18"/>
    <sheet name="Footnotes" sheetId="9" r:id="rId19"/>
    <sheet name=" Suppl. Info NG Measures" sheetId="20" r:id="rId20"/>
  </sheets>
  <externalReferences>
    <externalReference r:id="rId21"/>
  </externalReferences>
  <definedNames>
    <definedName name="CIQWBGuid" hidden="1">"VRNT Investor Relations Financial Appendices Workbook 10.31.19.xlsx"</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45329.8577430556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19">' Suppl. Info NG Measures'!$B$1:$B$66</definedName>
    <definedName name="_xlnm.Print_Area" localSheetId="6">'Constant Currency'!$A$1:$N$21</definedName>
    <definedName name="_xlnm.Print_Area" localSheetId="13">Debt!$A$1:$E$17</definedName>
    <definedName name="_xlnm.Print_Area" localSheetId="10">'EBITDA Margins'!$A$1:$N$26</definedName>
    <definedName name="_xlnm.Print_Area" localSheetId="12">'EPS &amp; DSO'!$A$1:$N$15</definedName>
    <definedName name="_xlnm.Print_Area" localSheetId="18">Footnotes!$B$2:$D$13</definedName>
    <definedName name="_xlnm.Print_Area" localSheetId="7">'Gross Profit'!$A$1:$N$62</definedName>
    <definedName name="_xlnm.Print_Area" localSheetId="5">'Nonrecurring Summary'!$A$1:$BJ$18</definedName>
    <definedName name="_xlnm.Print_Area" localSheetId="8">'Operating Expenses'!$A$1:$N$40</definedName>
    <definedName name="_xlnm.Print_Area" localSheetId="9">'Operating Margins'!$A$1:$N$25</definedName>
    <definedName name="_xlnm.Print_Area" localSheetId="11">'Other Expense, Tax &amp; NI'!$A$1:$N$28</definedName>
    <definedName name="_xlnm.Print_Area" localSheetId="4">'Recurring Summary'!$A$1:$BJ$23</definedName>
    <definedName name="_xlnm.Print_Area" localSheetId="16">'Revenue Metrics Reconciliation'!$A$1:$O$35</definedName>
    <definedName name="_xlnm.Print_Area" localSheetId="17">'SaaS Revenue Reconciliation'!$A$1:$N$16</definedName>
    <definedName name="_xlnm.Print_Area" localSheetId="1">'Subscription KPIs'!$A$1:$AA$9</definedName>
    <definedName name="_xlnm.Print_Area" localSheetId="3">'Summary P&amp;L'!$A$1:$BJ$35</definedName>
    <definedName name="_xlnm.Print_Titles" localSheetId="19">' Suppl. Info NG Measures'!$1:$1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5" l="1"/>
  <c r="N6" i="5"/>
  <c r="U6" i="5"/>
  <c r="AB6" i="5"/>
  <c r="AH6" i="5"/>
  <c r="AH8" i="5" s="1"/>
  <c r="B7" i="5"/>
  <c r="G7" i="5" s="1"/>
  <c r="N7" i="5"/>
  <c r="U7" i="5"/>
  <c r="AB7" i="5"/>
  <c r="AH7" i="5"/>
  <c r="C8" i="5"/>
  <c r="D7" i="3" s="1"/>
  <c r="D6" i="3" s="1"/>
  <c r="D8" i="5"/>
  <c r="E7" i="3" s="1"/>
  <c r="E6" i="3" s="1"/>
  <c r="E8" i="5"/>
  <c r="E12" i="5" s="1"/>
  <c r="I8" i="5"/>
  <c r="J8" i="5"/>
  <c r="K8" i="5"/>
  <c r="L8" i="5"/>
  <c r="P8" i="5"/>
  <c r="Q8" i="5"/>
  <c r="R8" i="5"/>
  <c r="S8" i="5"/>
  <c r="T7" i="3" s="1"/>
  <c r="V7" i="3" s="1"/>
  <c r="U8" i="5"/>
  <c r="W8" i="5"/>
  <c r="X8" i="5"/>
  <c r="Y8" i="5"/>
  <c r="Z7" i="3" s="1"/>
  <c r="Z6" i="3" s="1"/>
  <c r="Z8" i="5"/>
  <c r="AD8" i="5"/>
  <c r="AE8" i="5"/>
  <c r="AF8" i="5"/>
  <c r="B10" i="5"/>
  <c r="C10" i="5"/>
  <c r="D10" i="5"/>
  <c r="E10" i="5"/>
  <c r="G10" i="5"/>
  <c r="I10" i="5"/>
  <c r="N10" i="5" s="1"/>
  <c r="J10" i="5"/>
  <c r="K10" i="5"/>
  <c r="L10" i="5"/>
  <c r="P10" i="5"/>
  <c r="Q10" i="5"/>
  <c r="R10" i="5"/>
  <c r="S10" i="5"/>
  <c r="U14" i="5"/>
  <c r="U10" i="5" s="1"/>
  <c r="W10" i="5"/>
  <c r="X10" i="5"/>
  <c r="Y10" i="5"/>
  <c r="Z10" i="5"/>
  <c r="AD10" i="5"/>
  <c r="AE10" i="5"/>
  <c r="AF10" i="5"/>
  <c r="AH14" i="5"/>
  <c r="AH10" i="5"/>
  <c r="B11" i="5"/>
  <c r="C11" i="5"/>
  <c r="D11" i="5"/>
  <c r="E11" i="5"/>
  <c r="I11" i="5"/>
  <c r="N11" i="5" s="1"/>
  <c r="J11" i="5"/>
  <c r="K11" i="5"/>
  <c r="L11" i="5"/>
  <c r="P11" i="5"/>
  <c r="Q11" i="5"/>
  <c r="R11" i="5"/>
  <c r="S11" i="5"/>
  <c r="U15" i="5"/>
  <c r="U11" i="5"/>
  <c r="W11" i="5"/>
  <c r="AB11" i="5" s="1"/>
  <c r="X11" i="5"/>
  <c r="Y11" i="5"/>
  <c r="Z11" i="5"/>
  <c r="AD11" i="5"/>
  <c r="AE11" i="5"/>
  <c r="AF11" i="5"/>
  <c r="AH15" i="5"/>
  <c r="AH11" i="5" s="1"/>
  <c r="B16" i="5"/>
  <c r="C16" i="5"/>
  <c r="D16" i="5"/>
  <c r="E16" i="5"/>
  <c r="I16" i="5"/>
  <c r="I12" i="5" s="1"/>
  <c r="J16" i="5"/>
  <c r="J12" i="5" s="1"/>
  <c r="K16" i="5"/>
  <c r="K12" i="5" s="1"/>
  <c r="L16" i="5"/>
  <c r="M25" i="3" s="1"/>
  <c r="L12" i="5"/>
  <c r="P16" i="5"/>
  <c r="P12" i="5"/>
  <c r="Q16" i="5"/>
  <c r="Q12" i="5"/>
  <c r="R16" i="5"/>
  <c r="S25" i="3" s="1"/>
  <c r="S24" i="3" s="1"/>
  <c r="R12" i="5"/>
  <c r="S16" i="5"/>
  <c r="T25" i="3" s="1"/>
  <c r="T24" i="3" s="1"/>
  <c r="U16" i="5"/>
  <c r="W16" i="5"/>
  <c r="X16" i="5"/>
  <c r="Y16" i="5"/>
  <c r="Z25" i="3" s="1"/>
  <c r="Z16" i="5"/>
  <c r="AA25" i="3" s="1"/>
  <c r="AD16" i="5"/>
  <c r="AD12" i="5" s="1"/>
  <c r="AE16" i="5"/>
  <c r="AE12" i="5"/>
  <c r="AF16" i="5"/>
  <c r="AF12" i="5" s="1"/>
  <c r="G14" i="5"/>
  <c r="N14" i="5"/>
  <c r="AB14" i="5"/>
  <c r="G15" i="5"/>
  <c r="N15" i="5"/>
  <c r="AB15" i="5"/>
  <c r="F7" i="3"/>
  <c r="H9" i="3"/>
  <c r="H8" i="3"/>
  <c r="K7" i="3"/>
  <c r="K6" i="3"/>
  <c r="L7" i="3"/>
  <c r="L6" i="3" s="1"/>
  <c r="L13" i="3" s="1"/>
  <c r="M7" i="3"/>
  <c r="M6" i="3"/>
  <c r="O9" i="3"/>
  <c r="O8" i="3"/>
  <c r="Q7" i="3"/>
  <c r="Q6" i="3"/>
  <c r="R7" i="3"/>
  <c r="R6" i="3"/>
  <c r="S7" i="3"/>
  <c r="S6" i="3"/>
  <c r="S13" i="3" s="1"/>
  <c r="AA7" i="3"/>
  <c r="AA6" i="3"/>
  <c r="V8" i="3"/>
  <c r="AC8" i="3"/>
  <c r="V9" i="3"/>
  <c r="AC9" i="3"/>
  <c r="C10" i="3"/>
  <c r="D10" i="3"/>
  <c r="E10" i="3"/>
  <c r="F10" i="3"/>
  <c r="H10" i="3"/>
  <c r="J10" i="3"/>
  <c r="K10" i="3"/>
  <c r="L10" i="3"/>
  <c r="M10" i="3"/>
  <c r="L48" i="6" s="1"/>
  <c r="L50" i="6" s="1"/>
  <c r="L51" i="6" s="1"/>
  <c r="Q10" i="3"/>
  <c r="R10" i="3"/>
  <c r="S10" i="3"/>
  <c r="T10" i="3"/>
  <c r="V10" i="3"/>
  <c r="X10" i="3"/>
  <c r="Y10" i="3"/>
  <c r="Z10" i="3"/>
  <c r="Z19" i="3" s="1"/>
  <c r="AA10" i="3"/>
  <c r="AA19" i="3" s="1"/>
  <c r="H11" i="3"/>
  <c r="O11" i="3"/>
  <c r="V11" i="3"/>
  <c r="AC11" i="3"/>
  <c r="H12" i="3"/>
  <c r="O12" i="3"/>
  <c r="V12" i="3"/>
  <c r="AC12" i="3"/>
  <c r="Q13" i="3"/>
  <c r="P7" i="14" s="1"/>
  <c r="R13" i="3"/>
  <c r="Q7" i="6" s="1"/>
  <c r="C27" i="3"/>
  <c r="D25" i="3"/>
  <c r="D24" i="3"/>
  <c r="D31" i="3" s="1"/>
  <c r="C16" i="4" s="1"/>
  <c r="C18" i="4" s="1"/>
  <c r="E25" i="3"/>
  <c r="E24" i="3" s="1"/>
  <c r="F25" i="3"/>
  <c r="F24" i="3" s="1"/>
  <c r="K25" i="3"/>
  <c r="K16" i="3" s="1"/>
  <c r="L25" i="3"/>
  <c r="Q25" i="3"/>
  <c r="Q16" i="3" s="1"/>
  <c r="Q24" i="3"/>
  <c r="Q31" i="3" s="1"/>
  <c r="R25" i="3"/>
  <c r="R24" i="3" s="1"/>
  <c r="X25" i="3"/>
  <c r="X24" i="3" s="1"/>
  <c r="Y25" i="3"/>
  <c r="Y24" i="3"/>
  <c r="R16" i="3"/>
  <c r="S16" i="3"/>
  <c r="T16" i="3"/>
  <c r="V16" i="3"/>
  <c r="C17" i="3"/>
  <c r="D17" i="3"/>
  <c r="E17" i="3"/>
  <c r="F17" i="3"/>
  <c r="H17" i="3" s="1"/>
  <c r="J17" i="3"/>
  <c r="K17" i="3"/>
  <c r="L17" i="3"/>
  <c r="M17" i="3"/>
  <c r="Q17" i="3"/>
  <c r="R17" i="3"/>
  <c r="S17" i="3"/>
  <c r="T17" i="3"/>
  <c r="V17" i="3"/>
  <c r="X17" i="3"/>
  <c r="AC17" i="3" s="1"/>
  <c r="Y17" i="3"/>
  <c r="Z17" i="3"/>
  <c r="AA17" i="3"/>
  <c r="C18" i="3"/>
  <c r="D18" i="3"/>
  <c r="H18" i="3" s="1"/>
  <c r="E18" i="3"/>
  <c r="F18" i="3"/>
  <c r="J18" i="3"/>
  <c r="K18" i="3"/>
  <c r="O18" i="3" s="1"/>
  <c r="L18" i="3"/>
  <c r="M18" i="3"/>
  <c r="Q18" i="3"/>
  <c r="V18" i="3" s="1"/>
  <c r="R18" i="3"/>
  <c r="S18" i="3"/>
  <c r="T18" i="3"/>
  <c r="X18" i="3"/>
  <c r="Y18" i="3"/>
  <c r="Z18" i="3"/>
  <c r="AA18" i="3"/>
  <c r="AC18" i="3" s="1"/>
  <c r="C28" i="3"/>
  <c r="H28" i="3" s="1"/>
  <c r="D28" i="3"/>
  <c r="D19" i="3" s="1"/>
  <c r="E28" i="3"/>
  <c r="E19" i="3"/>
  <c r="F28" i="3"/>
  <c r="F19" i="3" s="1"/>
  <c r="J28" i="3"/>
  <c r="J19" i="3"/>
  <c r="K28" i="3"/>
  <c r="O28" i="3" s="1"/>
  <c r="K19" i="3"/>
  <c r="L28" i="3"/>
  <c r="L19" i="3"/>
  <c r="M28" i="3"/>
  <c r="M19" i="3" s="1"/>
  <c r="Q28" i="3"/>
  <c r="Q19" i="3" s="1"/>
  <c r="R28" i="3"/>
  <c r="R19" i="3"/>
  <c r="S28" i="3"/>
  <c r="S19" i="3"/>
  <c r="T28" i="3"/>
  <c r="T19" i="3"/>
  <c r="V19" i="3"/>
  <c r="X28" i="3"/>
  <c r="Y28" i="3"/>
  <c r="Z28" i="3"/>
  <c r="AA28" i="3"/>
  <c r="C20" i="3"/>
  <c r="D20" i="3"/>
  <c r="E20" i="3"/>
  <c r="F20" i="3"/>
  <c r="J20" i="3"/>
  <c r="K20" i="3"/>
  <c r="L20" i="3"/>
  <c r="M20" i="3"/>
  <c r="O20" i="3"/>
  <c r="Q20" i="3"/>
  <c r="V20" i="3" s="1"/>
  <c r="R20" i="3"/>
  <c r="S20" i="3"/>
  <c r="T20" i="3"/>
  <c r="X20" i="3"/>
  <c r="AC20" i="3" s="1"/>
  <c r="Y20" i="3"/>
  <c r="Z20" i="3"/>
  <c r="AA20" i="3"/>
  <c r="C21" i="3"/>
  <c r="D21" i="3"/>
  <c r="E21" i="3"/>
  <c r="H21" i="3" s="1"/>
  <c r="F21" i="3"/>
  <c r="J21" i="3"/>
  <c r="O21" i="3" s="1"/>
  <c r="K21" i="3"/>
  <c r="L21" i="3"/>
  <c r="M21" i="3"/>
  <c r="Q21" i="3"/>
  <c r="R21" i="3"/>
  <c r="S21" i="3"/>
  <c r="T21" i="3"/>
  <c r="V21" i="3"/>
  <c r="X21" i="3"/>
  <c r="AC21" i="3" s="1"/>
  <c r="Y21" i="3"/>
  <c r="Z21" i="3"/>
  <c r="AA21" i="3"/>
  <c r="F31" i="3"/>
  <c r="H27" i="3"/>
  <c r="H26" i="3"/>
  <c r="O27" i="3"/>
  <c r="O26" i="3"/>
  <c r="V27" i="3"/>
  <c r="V26" i="3"/>
  <c r="AC26" i="3"/>
  <c r="AC27" i="3"/>
  <c r="V28" i="3"/>
  <c r="H29" i="3"/>
  <c r="O29" i="3"/>
  <c r="V29" i="3"/>
  <c r="AC29" i="3"/>
  <c r="H30" i="3"/>
  <c r="O30" i="3"/>
  <c r="V30" i="3"/>
  <c r="AC30" i="3"/>
  <c r="B9" i="13"/>
  <c r="B15" i="13" s="1"/>
  <c r="C9" i="13"/>
  <c r="C15" i="13" s="1"/>
  <c r="D9" i="13"/>
  <c r="D15" i="13" s="1"/>
  <c r="E9" i="13"/>
  <c r="E15" i="13" s="1"/>
  <c r="F9" i="13"/>
  <c r="G9" i="13"/>
  <c r="G15" i="13" s="1"/>
  <c r="H9" i="13"/>
  <c r="I9" i="13"/>
  <c r="J9" i="13"/>
  <c r="K9" i="13"/>
  <c r="L9" i="13"/>
  <c r="L15" i="13" s="1"/>
  <c r="M9" i="13"/>
  <c r="N9" i="13"/>
  <c r="N15" i="13" s="1"/>
  <c r="O9" i="13"/>
  <c r="P9" i="13"/>
  <c r="P15" i="13" s="1"/>
  <c r="Q9" i="13"/>
  <c r="Q15" i="13" s="1"/>
  <c r="F15" i="13"/>
  <c r="H15" i="13"/>
  <c r="I15" i="13"/>
  <c r="J15" i="13"/>
  <c r="K15" i="13"/>
  <c r="M15" i="13"/>
  <c r="O15" i="13"/>
  <c r="B11" i="12"/>
  <c r="C11" i="12"/>
  <c r="D11" i="12"/>
  <c r="E11" i="12"/>
  <c r="G11" i="12"/>
  <c r="I11" i="12"/>
  <c r="J11" i="12"/>
  <c r="K11" i="12"/>
  <c r="L11" i="12"/>
  <c r="N11" i="12"/>
  <c r="P11" i="12"/>
  <c r="Q11" i="12"/>
  <c r="R11" i="12"/>
  <c r="S11" i="12"/>
  <c r="U11" i="12"/>
  <c r="W11" i="12"/>
  <c r="X11" i="12"/>
  <c r="Y11" i="12"/>
  <c r="Z11" i="12"/>
  <c r="AB11" i="12"/>
  <c r="AD11" i="12"/>
  <c r="AE11" i="12"/>
  <c r="AF11" i="12"/>
  <c r="AH11" i="12"/>
  <c r="G7" i="11"/>
  <c r="G15" i="11" s="1"/>
  <c r="N7" i="11"/>
  <c r="U7" i="11"/>
  <c r="AB7" i="11"/>
  <c r="AH7" i="11"/>
  <c r="G8" i="11"/>
  <c r="N8" i="11"/>
  <c r="U8" i="11"/>
  <c r="AB8" i="11"/>
  <c r="AH8" i="11"/>
  <c r="AH15" i="11" s="1"/>
  <c r="G9" i="11"/>
  <c r="N9" i="11"/>
  <c r="U9" i="11"/>
  <c r="AB9" i="11"/>
  <c r="AH9" i="11"/>
  <c r="G10" i="11"/>
  <c r="N10" i="11"/>
  <c r="U10" i="11"/>
  <c r="AB10" i="11"/>
  <c r="AH10" i="11"/>
  <c r="G11" i="11"/>
  <c r="N11" i="11"/>
  <c r="U11" i="11"/>
  <c r="AB11" i="11"/>
  <c r="AH11" i="11"/>
  <c r="G12" i="11"/>
  <c r="N12" i="11"/>
  <c r="U12" i="11"/>
  <c r="AB12" i="11"/>
  <c r="AH12" i="11"/>
  <c r="G13" i="11"/>
  <c r="N13" i="11"/>
  <c r="U13" i="11"/>
  <c r="AB13" i="11"/>
  <c r="AH13" i="11"/>
  <c r="G14" i="11"/>
  <c r="N14" i="11"/>
  <c r="U14" i="11"/>
  <c r="AB14" i="11"/>
  <c r="AH14" i="11"/>
  <c r="B15" i="11"/>
  <c r="C15" i="11"/>
  <c r="D15" i="11"/>
  <c r="E15" i="11"/>
  <c r="I15" i="11"/>
  <c r="N15" i="11" s="1"/>
  <c r="J15" i="11"/>
  <c r="K15" i="11"/>
  <c r="L15" i="11"/>
  <c r="P15" i="11"/>
  <c r="U15" i="11" s="1"/>
  <c r="Q15" i="11"/>
  <c r="R15" i="11"/>
  <c r="S15" i="11"/>
  <c r="W15" i="11"/>
  <c r="X15" i="11"/>
  <c r="Y15" i="11"/>
  <c r="Z15" i="11"/>
  <c r="AD15" i="11"/>
  <c r="AE15" i="11"/>
  <c r="AF15" i="11"/>
  <c r="G18" i="11"/>
  <c r="G21" i="11" s="1"/>
  <c r="N18" i="11"/>
  <c r="U18" i="11"/>
  <c r="AB18" i="11"/>
  <c r="AB21" i="11" s="1"/>
  <c r="AH18" i="11"/>
  <c r="G20" i="11"/>
  <c r="N20" i="11"/>
  <c r="U20" i="11"/>
  <c r="AB20" i="11"/>
  <c r="AH20" i="11"/>
  <c r="AH21" i="11" s="1"/>
  <c r="B21" i="11"/>
  <c r="C21" i="11"/>
  <c r="D21" i="11"/>
  <c r="E21" i="11"/>
  <c r="I21" i="11"/>
  <c r="N21" i="11" s="1"/>
  <c r="J21" i="11"/>
  <c r="K21" i="11"/>
  <c r="L21" i="11"/>
  <c r="P21" i="11"/>
  <c r="Q21" i="11"/>
  <c r="R21" i="11"/>
  <c r="S21" i="11"/>
  <c r="W21" i="11"/>
  <c r="X21" i="11"/>
  <c r="Y21" i="11"/>
  <c r="Z21" i="11"/>
  <c r="AD21" i="11"/>
  <c r="AE21" i="11"/>
  <c r="AF21" i="11"/>
  <c r="G25" i="11"/>
  <c r="N25" i="11"/>
  <c r="N27" i="11" s="1"/>
  <c r="G26" i="11"/>
  <c r="B27" i="11"/>
  <c r="G27" i="11" s="1"/>
  <c r="C27" i="11"/>
  <c r="D27" i="11"/>
  <c r="E27" i="11"/>
  <c r="I27" i="11"/>
  <c r="J27" i="11"/>
  <c r="K27" i="11"/>
  <c r="L27" i="11"/>
  <c r="P27" i="11"/>
  <c r="Q27" i="11"/>
  <c r="R27" i="11"/>
  <c r="S27" i="11"/>
  <c r="U27" i="11"/>
  <c r="W27" i="11"/>
  <c r="X27" i="11"/>
  <c r="Y27" i="11"/>
  <c r="Z27" i="11"/>
  <c r="AB27" i="11"/>
  <c r="AD27" i="11"/>
  <c r="AE27" i="11"/>
  <c r="AF27" i="11"/>
  <c r="AH27" i="11"/>
  <c r="I70" i="11"/>
  <c r="J70" i="11"/>
  <c r="N70" i="11"/>
  <c r="P70" i="11"/>
  <c r="Q70" i="11"/>
  <c r="U70" i="11"/>
  <c r="I73" i="11"/>
  <c r="J73" i="11"/>
  <c r="N73" i="11"/>
  <c r="P73" i="11"/>
  <c r="Q73" i="11"/>
  <c r="U73" i="11"/>
  <c r="G6" i="14"/>
  <c r="N6" i="14"/>
  <c r="U6" i="14"/>
  <c r="AB6" i="14"/>
  <c r="AH6" i="14"/>
  <c r="K7" i="14"/>
  <c r="Q7" i="14"/>
  <c r="B9" i="14"/>
  <c r="C9" i="14"/>
  <c r="G9" i="14"/>
  <c r="I9" i="14"/>
  <c r="N9" i="14" s="1"/>
  <c r="J9" i="14"/>
  <c r="K9" i="14"/>
  <c r="U9" i="14"/>
  <c r="AB9" i="14"/>
  <c r="AH9" i="14"/>
  <c r="B10" i="14"/>
  <c r="C10" i="14"/>
  <c r="I10" i="14"/>
  <c r="J10" i="14"/>
  <c r="K10" i="14"/>
  <c r="N10" i="14"/>
  <c r="U10" i="14"/>
  <c r="AB10" i="14"/>
  <c r="AH10" i="14"/>
  <c r="G11" i="14"/>
  <c r="N11" i="14"/>
  <c r="U11" i="14"/>
  <c r="AB11" i="14"/>
  <c r="AH11" i="14"/>
  <c r="AH12" i="14"/>
  <c r="B13" i="14"/>
  <c r="C13" i="14"/>
  <c r="D13" i="14"/>
  <c r="E13" i="14"/>
  <c r="I13" i="14"/>
  <c r="J13" i="14"/>
  <c r="N13" i="14" s="1"/>
  <c r="K13" i="14"/>
  <c r="L13" i="14"/>
  <c r="P13" i="14"/>
  <c r="Q13" i="14"/>
  <c r="R13" i="14"/>
  <c r="S13" i="14"/>
  <c r="W13" i="14"/>
  <c r="AB13" i="14"/>
  <c r="AH13" i="14"/>
  <c r="B14" i="14"/>
  <c r="G14" i="14" s="1"/>
  <c r="C14" i="14"/>
  <c r="D14" i="14"/>
  <c r="E14" i="14"/>
  <c r="I14" i="14"/>
  <c r="J14" i="14"/>
  <c r="K14" i="14"/>
  <c r="L14" i="14"/>
  <c r="P14" i="14"/>
  <c r="U14" i="14" s="1"/>
  <c r="Q14" i="14"/>
  <c r="R14" i="14"/>
  <c r="S14" i="14"/>
  <c r="W14" i="14"/>
  <c r="X14" i="14"/>
  <c r="AB14" i="14" s="1"/>
  <c r="Y14" i="14"/>
  <c r="AH14" i="14"/>
  <c r="B15" i="14"/>
  <c r="K17" i="14"/>
  <c r="K15" i="14"/>
  <c r="L17" i="14"/>
  <c r="L15" i="14"/>
  <c r="P15" i="14"/>
  <c r="U15" i="14"/>
  <c r="AB15" i="14"/>
  <c r="AH15" i="14"/>
  <c r="B16" i="14"/>
  <c r="G16" i="14" s="1"/>
  <c r="C16" i="14"/>
  <c r="D16" i="14"/>
  <c r="E16" i="14"/>
  <c r="N16" i="14"/>
  <c r="U16" i="14"/>
  <c r="AB16" i="14"/>
  <c r="AH16" i="14"/>
  <c r="E17" i="14"/>
  <c r="F17" i="14"/>
  <c r="I17" i="14"/>
  <c r="J17" i="14"/>
  <c r="N17" i="14" s="1"/>
  <c r="P17" i="14"/>
  <c r="U17" i="14" s="1"/>
  <c r="Q17" i="14"/>
  <c r="R17" i="14"/>
  <c r="S17" i="14"/>
  <c r="W17" i="14"/>
  <c r="X17" i="14"/>
  <c r="AH17" i="14"/>
  <c r="N18" i="14"/>
  <c r="U18" i="14"/>
  <c r="AB18" i="14"/>
  <c r="AH18" i="14"/>
  <c r="B19" i="14"/>
  <c r="G19" i="14" s="1"/>
  <c r="C19" i="14"/>
  <c r="D19" i="14"/>
  <c r="E19" i="14"/>
  <c r="I19" i="14"/>
  <c r="J19" i="14"/>
  <c r="K19" i="14"/>
  <c r="L19" i="14"/>
  <c r="N19" i="14"/>
  <c r="P19" i="14"/>
  <c r="Q19" i="14"/>
  <c r="R19" i="14"/>
  <c r="S19" i="14"/>
  <c r="U19" i="14"/>
  <c r="W19" i="14"/>
  <c r="AB19" i="14" s="1"/>
  <c r="X19" i="14"/>
  <c r="Y19" i="14"/>
  <c r="AH19" i="14"/>
  <c r="B20" i="14"/>
  <c r="C20" i="14"/>
  <c r="G20" i="14" s="1"/>
  <c r="D20" i="14"/>
  <c r="E20" i="14"/>
  <c r="I20" i="14"/>
  <c r="J20" i="14"/>
  <c r="S20" i="14"/>
  <c r="W20" i="14"/>
  <c r="X20" i="14"/>
  <c r="Y20" i="14"/>
  <c r="Z20" i="14"/>
  <c r="Z23" i="14" s="1"/>
  <c r="AB20" i="14"/>
  <c r="AD20" i="14"/>
  <c r="AH20" i="14"/>
  <c r="G21" i="14"/>
  <c r="N21" i="14"/>
  <c r="AB21" i="14"/>
  <c r="AH21" i="14"/>
  <c r="G22" i="14"/>
  <c r="N22" i="14"/>
  <c r="AB22" i="14"/>
  <c r="AH22" i="14"/>
  <c r="AD23" i="14"/>
  <c r="AE23" i="14"/>
  <c r="AF23" i="14"/>
  <c r="G6" i="8"/>
  <c r="N6" i="8"/>
  <c r="U6" i="8"/>
  <c r="AB6" i="8"/>
  <c r="AH6" i="8"/>
  <c r="AH9" i="8"/>
  <c r="AH22" i="8" s="1"/>
  <c r="BH26" i="15" s="1"/>
  <c r="G10" i="8"/>
  <c r="N10" i="8"/>
  <c r="U10" i="8"/>
  <c r="AB10" i="8"/>
  <c r="AH10" i="8"/>
  <c r="G11" i="8"/>
  <c r="N11" i="8"/>
  <c r="U11" i="8"/>
  <c r="AB11" i="8"/>
  <c r="AH11" i="8"/>
  <c r="G12" i="8"/>
  <c r="N12" i="8"/>
  <c r="U12" i="8"/>
  <c r="AB12" i="8"/>
  <c r="AH12" i="8"/>
  <c r="G13" i="8"/>
  <c r="N13" i="8"/>
  <c r="U13" i="8"/>
  <c r="AB13" i="8"/>
  <c r="AH13" i="8"/>
  <c r="B16" i="8"/>
  <c r="B14" i="8"/>
  <c r="C16" i="8"/>
  <c r="C17" i="14" s="1"/>
  <c r="C14" i="8"/>
  <c r="D16" i="8"/>
  <c r="D17" i="14" s="1"/>
  <c r="D14" i="8"/>
  <c r="D15" i="14" s="1"/>
  <c r="E16" i="8"/>
  <c r="E14" i="8" s="1"/>
  <c r="E15" i="14" s="1"/>
  <c r="I14" i="8"/>
  <c r="I15" i="14" s="1"/>
  <c r="J14" i="8"/>
  <c r="J15" i="14" s="1"/>
  <c r="N15" i="14" s="1"/>
  <c r="K14" i="8"/>
  <c r="L14" i="8"/>
  <c r="N14" i="8"/>
  <c r="U14" i="8"/>
  <c r="AB14" i="8"/>
  <c r="AH14" i="8"/>
  <c r="G15" i="8"/>
  <c r="N15" i="8"/>
  <c r="U15" i="8"/>
  <c r="AB15" i="8"/>
  <c r="AH15" i="8"/>
  <c r="N16" i="8"/>
  <c r="U16" i="8"/>
  <c r="AB16" i="8"/>
  <c r="AH16" i="8"/>
  <c r="N17" i="8"/>
  <c r="U17" i="8"/>
  <c r="AB17" i="8"/>
  <c r="AH17" i="8"/>
  <c r="G18" i="8"/>
  <c r="N18" i="8"/>
  <c r="U18" i="8"/>
  <c r="AB18" i="8"/>
  <c r="AH18" i="8"/>
  <c r="G19" i="8"/>
  <c r="J19" i="8"/>
  <c r="K19" i="8"/>
  <c r="K20" i="14" s="1"/>
  <c r="L19" i="8"/>
  <c r="N19" i="8"/>
  <c r="P19" i="8"/>
  <c r="Q19" i="8"/>
  <c r="Q20" i="14" s="1"/>
  <c r="R19" i="8"/>
  <c r="R20" i="14" s="1"/>
  <c r="AB19" i="8"/>
  <c r="AH19" i="8"/>
  <c r="G20" i="8"/>
  <c r="N20" i="8"/>
  <c r="AB20" i="8"/>
  <c r="AH20" i="8"/>
  <c r="G21" i="8"/>
  <c r="N21" i="8"/>
  <c r="AB21" i="8"/>
  <c r="AH21" i="8"/>
  <c r="J22" i="8"/>
  <c r="AD22" i="8"/>
  <c r="AE22" i="8"/>
  <c r="AF22" i="8"/>
  <c r="G7" i="7"/>
  <c r="N7" i="7"/>
  <c r="U7" i="7"/>
  <c r="AB7" i="7"/>
  <c r="AH7" i="7"/>
  <c r="G10" i="7"/>
  <c r="N10" i="7"/>
  <c r="U10" i="7"/>
  <c r="AB10" i="7"/>
  <c r="AH10" i="7"/>
  <c r="G11" i="7"/>
  <c r="N11" i="7"/>
  <c r="U11" i="7"/>
  <c r="AB11" i="7"/>
  <c r="AH11" i="7"/>
  <c r="G12" i="7"/>
  <c r="L12" i="7"/>
  <c r="L18" i="7" s="1"/>
  <c r="W21" i="15" s="1"/>
  <c r="N12" i="7"/>
  <c r="U12" i="7"/>
  <c r="AB12" i="7"/>
  <c r="AH12" i="7"/>
  <c r="G13" i="7"/>
  <c r="N13" i="7"/>
  <c r="U13" i="7"/>
  <c r="AB13" i="7"/>
  <c r="AH13" i="7"/>
  <c r="N14" i="7"/>
  <c r="U14" i="7"/>
  <c r="AB14" i="7"/>
  <c r="AH14" i="7"/>
  <c r="G15" i="7"/>
  <c r="N15" i="7"/>
  <c r="U15" i="7"/>
  <c r="AB15" i="7"/>
  <c r="AH15" i="7"/>
  <c r="G16" i="7"/>
  <c r="N16" i="7"/>
  <c r="AB16" i="7"/>
  <c r="AH16" i="7"/>
  <c r="G17" i="7"/>
  <c r="N17" i="7"/>
  <c r="AB17" i="7"/>
  <c r="AH17" i="7"/>
  <c r="B18" i="7"/>
  <c r="G18" i="7" s="1"/>
  <c r="C18" i="7"/>
  <c r="D18" i="7"/>
  <c r="E18" i="7"/>
  <c r="I18" i="7"/>
  <c r="J18" i="7"/>
  <c r="K18" i="7"/>
  <c r="P18" i="7"/>
  <c r="Q18" i="7"/>
  <c r="R18" i="7"/>
  <c r="S18" i="7"/>
  <c r="W18" i="7"/>
  <c r="X18" i="7"/>
  <c r="Y18" i="7"/>
  <c r="Z18" i="7"/>
  <c r="AD18" i="7"/>
  <c r="AE18" i="7"/>
  <c r="AF18" i="7"/>
  <c r="G23" i="7"/>
  <c r="N23" i="7"/>
  <c r="U23" i="7"/>
  <c r="AK23" i="15" s="1"/>
  <c r="AB23" i="7"/>
  <c r="AW23" i="15" s="1"/>
  <c r="AH23" i="7"/>
  <c r="G26" i="7"/>
  <c r="N26" i="7"/>
  <c r="U26" i="7"/>
  <c r="AB26" i="7"/>
  <c r="AH26" i="7"/>
  <c r="G27" i="7"/>
  <c r="N27" i="7"/>
  <c r="U27" i="7"/>
  <c r="AB27" i="7"/>
  <c r="AH27" i="7"/>
  <c r="B28" i="7"/>
  <c r="D28" i="7"/>
  <c r="D36" i="7" s="1"/>
  <c r="E28" i="7"/>
  <c r="I28" i="7"/>
  <c r="J28" i="7"/>
  <c r="K28" i="7"/>
  <c r="L28" i="7"/>
  <c r="N28" i="7"/>
  <c r="U28" i="7"/>
  <c r="AB28" i="7"/>
  <c r="AH28" i="7"/>
  <c r="G29" i="7"/>
  <c r="N29" i="7"/>
  <c r="U29" i="7"/>
  <c r="AB29" i="7"/>
  <c r="AH29" i="7"/>
  <c r="G30" i="7"/>
  <c r="N30" i="7"/>
  <c r="U30" i="7"/>
  <c r="AB30" i="7"/>
  <c r="AH30" i="7"/>
  <c r="G31" i="7"/>
  <c r="N31" i="7"/>
  <c r="U31" i="7"/>
  <c r="AB31" i="7"/>
  <c r="AH31" i="7"/>
  <c r="G32" i="7"/>
  <c r="N32" i="7"/>
  <c r="U32" i="7"/>
  <c r="AB32" i="7"/>
  <c r="AH32" i="7"/>
  <c r="G33" i="7"/>
  <c r="J33" i="7"/>
  <c r="J36" i="7" s="1"/>
  <c r="K33" i="7"/>
  <c r="K36" i="7" s="1"/>
  <c r="L33" i="7"/>
  <c r="L36" i="7" s="1"/>
  <c r="W23" i="15" s="1"/>
  <c r="N33" i="7"/>
  <c r="P33" i="7"/>
  <c r="Q33" i="7"/>
  <c r="R33" i="7"/>
  <c r="AB33" i="7"/>
  <c r="AH33" i="7"/>
  <c r="G34" i="7"/>
  <c r="N34" i="7"/>
  <c r="AB34" i="7"/>
  <c r="AH34" i="7"/>
  <c r="G35" i="7"/>
  <c r="N35" i="7"/>
  <c r="AB35" i="7"/>
  <c r="AH35" i="7"/>
  <c r="C36" i="7"/>
  <c r="E36" i="7"/>
  <c r="I36" i="7"/>
  <c r="Q36" i="7"/>
  <c r="R36" i="7"/>
  <c r="AG23" i="15" s="1"/>
  <c r="S36" i="7"/>
  <c r="W36" i="7"/>
  <c r="X36" i="7"/>
  <c r="Y36" i="7"/>
  <c r="Z36" i="7"/>
  <c r="AD36" i="7"/>
  <c r="AE36" i="7"/>
  <c r="AF36" i="7"/>
  <c r="P7" i="6"/>
  <c r="G9" i="6"/>
  <c r="N9" i="6"/>
  <c r="U9" i="6"/>
  <c r="AB9" i="6"/>
  <c r="AH9" i="6"/>
  <c r="G10" i="6"/>
  <c r="N10" i="6"/>
  <c r="U10" i="6"/>
  <c r="AB10" i="6"/>
  <c r="AH10" i="6"/>
  <c r="G11" i="6"/>
  <c r="N11" i="6"/>
  <c r="U11" i="6"/>
  <c r="AB11" i="6"/>
  <c r="AH11" i="6"/>
  <c r="B12" i="6"/>
  <c r="C12" i="6"/>
  <c r="D12" i="6"/>
  <c r="E12" i="6"/>
  <c r="G12" i="6"/>
  <c r="I12" i="6"/>
  <c r="J12" i="6"/>
  <c r="K12" i="6"/>
  <c r="L12" i="6"/>
  <c r="P12" i="6"/>
  <c r="P14" i="6" s="1"/>
  <c r="Q12" i="6"/>
  <c r="R12" i="6"/>
  <c r="S12" i="6"/>
  <c r="U12" i="6"/>
  <c r="W12" i="6"/>
  <c r="X12" i="6"/>
  <c r="Y12" i="6"/>
  <c r="AB12" i="6" s="1"/>
  <c r="Z12" i="6"/>
  <c r="AD12" i="6"/>
  <c r="AE12" i="6"/>
  <c r="AF12" i="6"/>
  <c r="Q14" i="6"/>
  <c r="AD14" i="6"/>
  <c r="AD25" i="6" s="1"/>
  <c r="N16" i="6"/>
  <c r="U16" i="6"/>
  <c r="AB16" i="6"/>
  <c r="AH16" i="6"/>
  <c r="B17" i="6"/>
  <c r="C17" i="6"/>
  <c r="D17" i="6"/>
  <c r="E17" i="6"/>
  <c r="N17" i="6"/>
  <c r="U17" i="6"/>
  <c r="AB17" i="6"/>
  <c r="AH17" i="6"/>
  <c r="G18" i="6"/>
  <c r="N18" i="6"/>
  <c r="U18" i="6"/>
  <c r="AB18" i="6"/>
  <c r="AH18" i="6"/>
  <c r="G19" i="6"/>
  <c r="N19" i="6"/>
  <c r="U19" i="6"/>
  <c r="AB19" i="6"/>
  <c r="AH19" i="6"/>
  <c r="G20" i="6"/>
  <c r="L20" i="6"/>
  <c r="N20" i="6"/>
  <c r="U20" i="6"/>
  <c r="AB20" i="6"/>
  <c r="AH20" i="6"/>
  <c r="G21" i="6"/>
  <c r="N21" i="6"/>
  <c r="U21" i="6"/>
  <c r="AB21" i="6"/>
  <c r="AH21" i="6"/>
  <c r="G22" i="6"/>
  <c r="N22" i="6"/>
  <c r="U22" i="6"/>
  <c r="AB22" i="6"/>
  <c r="AH22" i="6"/>
  <c r="G23" i="6"/>
  <c r="N23" i="6"/>
  <c r="U23" i="6"/>
  <c r="AB23" i="6"/>
  <c r="AH23" i="6"/>
  <c r="G24" i="6"/>
  <c r="N24" i="6"/>
  <c r="U24" i="6"/>
  <c r="AB24" i="6"/>
  <c r="AH24" i="6"/>
  <c r="Q25" i="6"/>
  <c r="K30" i="6"/>
  <c r="P30" i="6"/>
  <c r="P32" i="6" s="1"/>
  <c r="Q30" i="6"/>
  <c r="R30" i="6"/>
  <c r="Y30" i="6"/>
  <c r="Y32" i="6" s="1"/>
  <c r="B31" i="6"/>
  <c r="C31" i="6"/>
  <c r="D31" i="6"/>
  <c r="E31" i="6"/>
  <c r="G31" i="6"/>
  <c r="I31" i="6"/>
  <c r="N31" i="6" s="1"/>
  <c r="J31" i="6"/>
  <c r="K31" i="6"/>
  <c r="L31" i="6"/>
  <c r="P31" i="6"/>
  <c r="Q31" i="6"/>
  <c r="Q32" i="6" s="1"/>
  <c r="Q43" i="6" s="1"/>
  <c r="R31" i="6"/>
  <c r="S31" i="6"/>
  <c r="U31" i="6"/>
  <c r="W31" i="6"/>
  <c r="X31" i="6"/>
  <c r="Y31" i="6"/>
  <c r="Z31" i="6"/>
  <c r="AD31" i="6"/>
  <c r="AE31" i="6"/>
  <c r="AF31" i="6"/>
  <c r="K32" i="6"/>
  <c r="R32" i="6"/>
  <c r="R33" i="6" s="1"/>
  <c r="Q33" i="6"/>
  <c r="N35" i="6"/>
  <c r="U35" i="6"/>
  <c r="AB35" i="6"/>
  <c r="AH35" i="6"/>
  <c r="G36" i="6"/>
  <c r="N36" i="6"/>
  <c r="U36" i="6"/>
  <c r="AB36" i="6"/>
  <c r="AH36" i="6"/>
  <c r="G37" i="6"/>
  <c r="N37" i="6"/>
  <c r="U37" i="6"/>
  <c r="AB37" i="6"/>
  <c r="AH37" i="6"/>
  <c r="G38" i="6"/>
  <c r="L38" i="6"/>
  <c r="N38" i="6"/>
  <c r="U38" i="6"/>
  <c r="AB38" i="6"/>
  <c r="AH38" i="6"/>
  <c r="B39" i="6"/>
  <c r="G39" i="6"/>
  <c r="N39" i="6"/>
  <c r="U39" i="6"/>
  <c r="AB39" i="6"/>
  <c r="AH39" i="6"/>
  <c r="G40" i="6"/>
  <c r="N40" i="6"/>
  <c r="U40" i="6"/>
  <c r="AB40" i="6"/>
  <c r="AH40" i="6"/>
  <c r="G41" i="6"/>
  <c r="N41" i="6"/>
  <c r="U41" i="6"/>
  <c r="AB41" i="6"/>
  <c r="AH41" i="6"/>
  <c r="G42" i="6"/>
  <c r="N42" i="6"/>
  <c r="U42" i="6"/>
  <c r="AB42" i="6"/>
  <c r="AH42" i="6"/>
  <c r="R43" i="6"/>
  <c r="R44" i="6" s="1"/>
  <c r="B48" i="6"/>
  <c r="B50" i="6" s="1"/>
  <c r="C48" i="6"/>
  <c r="C50" i="6" s="1"/>
  <c r="D48" i="6"/>
  <c r="E48" i="6"/>
  <c r="G48" i="6"/>
  <c r="I48" i="6"/>
  <c r="J48" i="6"/>
  <c r="J50" i="6" s="1"/>
  <c r="K48" i="6"/>
  <c r="P48" i="6"/>
  <c r="P50" i="6" s="1"/>
  <c r="Q48" i="6"/>
  <c r="R48" i="6"/>
  <c r="S48" i="6"/>
  <c r="S50" i="6" s="1"/>
  <c r="S51" i="6" s="1"/>
  <c r="U48" i="6"/>
  <c r="W48" i="6"/>
  <c r="X48" i="6"/>
  <c r="Y48" i="6"/>
  <c r="Y50" i="6" s="1"/>
  <c r="Z48" i="6"/>
  <c r="B49" i="6"/>
  <c r="C49" i="6"/>
  <c r="D49" i="6"/>
  <c r="G49" i="6" s="1"/>
  <c r="E49" i="6"/>
  <c r="I49" i="6"/>
  <c r="J49" i="6"/>
  <c r="K49" i="6"/>
  <c r="L49" i="6"/>
  <c r="P49" i="6"/>
  <c r="Q49" i="6"/>
  <c r="Q50" i="6" s="1"/>
  <c r="R49" i="6"/>
  <c r="S49" i="6"/>
  <c r="U49" i="6"/>
  <c r="W49" i="6"/>
  <c r="X49" i="6"/>
  <c r="Y49" i="6"/>
  <c r="Z49" i="6"/>
  <c r="AD49" i="6"/>
  <c r="AE49" i="6"/>
  <c r="AF49" i="6"/>
  <c r="AH49" i="6"/>
  <c r="D50" i="6"/>
  <c r="E50" i="6"/>
  <c r="K50" i="6"/>
  <c r="R50" i="6"/>
  <c r="R51" i="6" s="1"/>
  <c r="W50" i="6"/>
  <c r="Z50" i="6"/>
  <c r="K51" i="6"/>
  <c r="Y51" i="6"/>
  <c r="G53" i="6"/>
  <c r="I53" i="6"/>
  <c r="J53" i="6"/>
  <c r="N53" i="6" s="1"/>
  <c r="K53" i="6"/>
  <c r="L53" i="6"/>
  <c r="P53" i="6"/>
  <c r="Q53" i="6"/>
  <c r="R53" i="6"/>
  <c r="S53" i="6"/>
  <c r="U53" i="6"/>
  <c r="W53" i="6"/>
  <c r="X53" i="6"/>
  <c r="Y53" i="6"/>
  <c r="Z53" i="6"/>
  <c r="AE53" i="6"/>
  <c r="AF53" i="6"/>
  <c r="AH53" i="6"/>
  <c r="G54" i="6"/>
  <c r="I54" i="6"/>
  <c r="J54" i="6"/>
  <c r="N54" i="6" s="1"/>
  <c r="K54" i="6"/>
  <c r="L54" i="6"/>
  <c r="P54" i="6"/>
  <c r="Q54" i="6"/>
  <c r="U54" i="6" s="1"/>
  <c r="R54" i="6"/>
  <c r="S54" i="6"/>
  <c r="W54" i="6"/>
  <c r="AB54" i="6" s="1"/>
  <c r="X54" i="6"/>
  <c r="AE54" i="6"/>
  <c r="AF54" i="6"/>
  <c r="AH54" i="6"/>
  <c r="G55" i="6"/>
  <c r="I55" i="6"/>
  <c r="N55" i="6" s="1"/>
  <c r="J55" i="6"/>
  <c r="K55" i="6"/>
  <c r="L55" i="6"/>
  <c r="P55" i="6"/>
  <c r="Q55" i="6"/>
  <c r="R55" i="6"/>
  <c r="S55" i="6"/>
  <c r="U55" i="6"/>
  <c r="W55" i="6"/>
  <c r="AB55" i="6" s="1"/>
  <c r="X55" i="6"/>
  <c r="Y55" i="6"/>
  <c r="AE55" i="6"/>
  <c r="AH55" i="6" s="1"/>
  <c r="AF55" i="6"/>
  <c r="G56" i="6"/>
  <c r="I56" i="6"/>
  <c r="J56" i="6"/>
  <c r="K56" i="6"/>
  <c r="P56" i="6"/>
  <c r="Q56" i="6"/>
  <c r="R56" i="6"/>
  <c r="S56" i="6"/>
  <c r="W56" i="6"/>
  <c r="X56" i="6"/>
  <c r="AB56" i="6"/>
  <c r="AE56" i="6"/>
  <c r="AF56" i="6"/>
  <c r="AH56" i="6" s="1"/>
  <c r="G57" i="6"/>
  <c r="I57" i="6"/>
  <c r="J57" i="6"/>
  <c r="K57" i="6"/>
  <c r="L57" i="6"/>
  <c r="P57" i="6"/>
  <c r="Q57" i="6"/>
  <c r="R57" i="6"/>
  <c r="R61" i="6" s="1"/>
  <c r="S57" i="6"/>
  <c r="W57" i="6"/>
  <c r="AB57" i="6" s="1"/>
  <c r="X57" i="6"/>
  <c r="Y57" i="6"/>
  <c r="AE57" i="6"/>
  <c r="AF57" i="6"/>
  <c r="AH57" i="6"/>
  <c r="G58" i="6"/>
  <c r="N58" i="6"/>
  <c r="U58" i="6"/>
  <c r="AB58" i="6"/>
  <c r="AH58" i="6"/>
  <c r="G59" i="6"/>
  <c r="I59" i="6"/>
  <c r="J59" i="6"/>
  <c r="K59" i="6"/>
  <c r="L59" i="6"/>
  <c r="P59" i="6"/>
  <c r="Q59" i="6"/>
  <c r="R59" i="6"/>
  <c r="S59" i="6"/>
  <c r="W59" i="6"/>
  <c r="X59" i="6"/>
  <c r="Y59" i="6"/>
  <c r="Z59" i="6"/>
  <c r="AD59" i="6"/>
  <c r="AH59" i="6" s="1"/>
  <c r="AE59" i="6"/>
  <c r="AF59" i="6"/>
  <c r="G60" i="6"/>
  <c r="I60" i="6"/>
  <c r="J60" i="6"/>
  <c r="K60" i="6"/>
  <c r="L60" i="6"/>
  <c r="N60" i="6"/>
  <c r="P60" i="6"/>
  <c r="Q60" i="6"/>
  <c r="R60" i="6"/>
  <c r="S60" i="6"/>
  <c r="W60" i="6"/>
  <c r="X60" i="6"/>
  <c r="Y60" i="6"/>
  <c r="Z60" i="6"/>
  <c r="AB60" i="6"/>
  <c r="AD60" i="6"/>
  <c r="AE60" i="6"/>
  <c r="AF60" i="6"/>
  <c r="B61" i="6"/>
  <c r="K61" i="6"/>
  <c r="B7" i="4"/>
  <c r="G7" i="4" s="1"/>
  <c r="G12" i="4" s="1"/>
  <c r="W7" i="4"/>
  <c r="X7" i="4"/>
  <c r="Y7" i="4"/>
  <c r="K8" i="4"/>
  <c r="P8" i="4"/>
  <c r="Q8" i="4"/>
  <c r="G9" i="4"/>
  <c r="B12" i="4"/>
  <c r="C12" i="4"/>
  <c r="D12" i="4"/>
  <c r="E12" i="4"/>
  <c r="X12" i="4"/>
  <c r="Y12" i="4"/>
  <c r="AR12" i="15" s="1"/>
  <c r="AD11" i="4"/>
  <c r="B15" i="4"/>
  <c r="J15" i="4"/>
  <c r="J20" i="4" s="1"/>
  <c r="L15" i="4"/>
  <c r="W15" i="4"/>
  <c r="E16" i="4"/>
  <c r="E18" i="4" s="1"/>
  <c r="G17" i="4"/>
  <c r="C20" i="4"/>
  <c r="C19" i="4" s="1"/>
  <c r="D20" i="4"/>
  <c r="E20" i="4"/>
  <c r="K12" i="15" s="1"/>
  <c r="E19" i="4"/>
  <c r="L20" i="4"/>
  <c r="D8" i="17"/>
  <c r="D6" i="17"/>
  <c r="E8" i="17"/>
  <c r="E6" i="17" s="1"/>
  <c r="F8" i="17"/>
  <c r="F6" i="17" s="1"/>
  <c r="G8" i="17"/>
  <c r="G6" i="17"/>
  <c r="S10" i="17" s="1"/>
  <c r="H8" i="17"/>
  <c r="H6" i="17" s="1"/>
  <c r="I8" i="17"/>
  <c r="I6" i="17"/>
  <c r="J8" i="17"/>
  <c r="J6" i="17"/>
  <c r="K8" i="17"/>
  <c r="K6" i="17" s="1"/>
  <c r="M8" i="17"/>
  <c r="M6" i="17" s="1"/>
  <c r="Y10" i="17" s="1"/>
  <c r="N8" i="17"/>
  <c r="N6" i="17" s="1"/>
  <c r="Z10" i="17" s="1"/>
  <c r="P8" i="17"/>
  <c r="P6" i="17" s="1"/>
  <c r="Q8" i="17"/>
  <c r="Q6" i="17" s="1"/>
  <c r="Q10" i="17" s="1"/>
  <c r="R8" i="17"/>
  <c r="R6" i="17"/>
  <c r="S8" i="17"/>
  <c r="S6" i="17"/>
  <c r="T8" i="17"/>
  <c r="T6" i="17"/>
  <c r="U8" i="17"/>
  <c r="U6" i="17" s="1"/>
  <c r="U10" i="17" s="1"/>
  <c r="V8" i="17"/>
  <c r="V6" i="17" s="1"/>
  <c r="W8" i="17"/>
  <c r="W6" i="17"/>
  <c r="W10" i="17" s="1"/>
  <c r="Y8" i="17"/>
  <c r="Y6" i="17"/>
  <c r="Z8" i="17"/>
  <c r="Z6" i="17"/>
  <c r="AB8" i="17"/>
  <c r="AB6" i="17"/>
  <c r="AB10" i="17" s="1"/>
  <c r="AC8" i="17"/>
  <c r="AC6" i="17"/>
  <c r="AD8" i="17"/>
  <c r="AD6" i="17" s="1"/>
  <c r="AE8" i="17"/>
  <c r="AE6" i="17"/>
  <c r="AF8" i="17"/>
  <c r="AF6" i="17"/>
  <c r="AG8" i="17"/>
  <c r="AG6" i="17"/>
  <c r="AH8" i="17"/>
  <c r="AH6" i="17"/>
  <c r="AH10" i="17" s="1"/>
  <c r="AI8" i="17"/>
  <c r="AI6" i="17" s="1"/>
  <c r="AK8" i="17"/>
  <c r="AK6" i="17" s="1"/>
  <c r="AK10" i="17" s="1"/>
  <c r="AL8" i="17"/>
  <c r="AL6" i="17" s="1"/>
  <c r="AL10" i="17" s="1"/>
  <c r="AN8" i="17"/>
  <c r="AN6" i="17"/>
  <c r="AO8" i="17"/>
  <c r="AO6" i="17"/>
  <c r="AP7" i="17"/>
  <c r="AP8" i="17"/>
  <c r="AP6" i="17"/>
  <c r="AQ7" i="17"/>
  <c r="AQ8" i="17"/>
  <c r="AR7" i="17"/>
  <c r="AR6" i="17" s="1"/>
  <c r="AR10" i="17" s="1"/>
  <c r="AR8" i="17"/>
  <c r="AS7" i="17"/>
  <c r="AS6" i="17" s="1"/>
  <c r="AS8" i="17"/>
  <c r="AT7" i="17"/>
  <c r="AT8" i="17"/>
  <c r="AU7" i="17"/>
  <c r="AU6" i="17" s="1"/>
  <c r="AU8" i="17"/>
  <c r="AW7" i="17"/>
  <c r="AW8" i="17"/>
  <c r="AX7" i="17"/>
  <c r="AX6" i="17" s="1"/>
  <c r="AX7" i="15" s="1"/>
  <c r="AX8" i="17"/>
  <c r="AZ6" i="17"/>
  <c r="AD48" i="6" s="1"/>
  <c r="BA6" i="17"/>
  <c r="BB6" i="17"/>
  <c r="BC6" i="17"/>
  <c r="BD6" i="17"/>
  <c r="BE6" i="17"/>
  <c r="BE10" i="17" s="1"/>
  <c r="BG7" i="17"/>
  <c r="BG6" i="17" s="1"/>
  <c r="BG8" i="17"/>
  <c r="BH7" i="17"/>
  <c r="BH6" i="17" s="1"/>
  <c r="BH8" i="17"/>
  <c r="P10" i="17"/>
  <c r="V10" i="17"/>
  <c r="AD10" i="17"/>
  <c r="AE10" i="17"/>
  <c r="AF10" i="17"/>
  <c r="AG10" i="17"/>
  <c r="AS10" i="17"/>
  <c r="AX10" i="17"/>
  <c r="AZ10" i="17"/>
  <c r="BA10" i="17"/>
  <c r="F12" i="17"/>
  <c r="R12" i="17"/>
  <c r="T12" i="17"/>
  <c r="V12" i="17"/>
  <c r="AF12" i="17"/>
  <c r="AF13" i="17" s="1"/>
  <c r="AH12" i="17"/>
  <c r="V13" i="17"/>
  <c r="O14" i="17"/>
  <c r="D8" i="16"/>
  <c r="D9" i="16"/>
  <c r="D10" i="16"/>
  <c r="D11" i="16"/>
  <c r="E8" i="16"/>
  <c r="E9" i="16"/>
  <c r="E10" i="16"/>
  <c r="E11" i="16"/>
  <c r="E6" i="16"/>
  <c r="F8" i="16"/>
  <c r="R15" i="16" s="1"/>
  <c r="F9" i="16"/>
  <c r="F10" i="16"/>
  <c r="F11" i="16"/>
  <c r="G8" i="16"/>
  <c r="G9" i="16"/>
  <c r="G10" i="16"/>
  <c r="G6" i="16" s="1"/>
  <c r="G11" i="16"/>
  <c r="H8" i="16"/>
  <c r="H9" i="16"/>
  <c r="H10" i="16"/>
  <c r="H6" i="16" s="1"/>
  <c r="H11" i="16"/>
  <c r="I8" i="16"/>
  <c r="I9" i="16"/>
  <c r="I10" i="16"/>
  <c r="I11" i="16"/>
  <c r="J8" i="16"/>
  <c r="J9" i="16"/>
  <c r="J10" i="16"/>
  <c r="J11" i="16"/>
  <c r="J6" i="16"/>
  <c r="K8" i="16"/>
  <c r="K9" i="16"/>
  <c r="K10" i="16"/>
  <c r="K11" i="16"/>
  <c r="M8" i="16"/>
  <c r="M9" i="16"/>
  <c r="M6" i="16" s="1"/>
  <c r="M10" i="16"/>
  <c r="M11" i="16"/>
  <c r="N8" i="16"/>
  <c r="N9" i="16"/>
  <c r="N10" i="16"/>
  <c r="N11" i="16"/>
  <c r="P8" i="16"/>
  <c r="P9" i="16"/>
  <c r="P10" i="16"/>
  <c r="P11" i="16"/>
  <c r="Q8" i="16"/>
  <c r="Q9" i="16"/>
  <c r="Q10" i="16"/>
  <c r="Q11" i="16"/>
  <c r="Q6" i="16"/>
  <c r="R8" i="16"/>
  <c r="R7" i="16" s="1"/>
  <c r="R9" i="16"/>
  <c r="R10" i="16"/>
  <c r="R11" i="16"/>
  <c r="R6" i="16"/>
  <c r="S8" i="16"/>
  <c r="S9" i="16"/>
  <c r="S10" i="16"/>
  <c r="S11" i="16"/>
  <c r="T8" i="16"/>
  <c r="T9" i="16"/>
  <c r="T10" i="16"/>
  <c r="T11" i="16"/>
  <c r="U8" i="16"/>
  <c r="U9" i="16"/>
  <c r="U7" i="16" s="1"/>
  <c r="U10" i="16"/>
  <c r="U6" i="16" s="1"/>
  <c r="U11" i="16"/>
  <c r="V8" i="16"/>
  <c r="V9" i="16"/>
  <c r="V10" i="16"/>
  <c r="V11" i="16"/>
  <c r="V6" i="16"/>
  <c r="V13" i="16" s="1"/>
  <c r="W8" i="16"/>
  <c r="W9" i="16"/>
  <c r="W7" i="16" s="1"/>
  <c r="W10" i="16"/>
  <c r="W11" i="16"/>
  <c r="W6" i="16"/>
  <c r="Y8" i="16"/>
  <c r="Y9" i="16"/>
  <c r="Y10" i="16"/>
  <c r="Y11" i="16"/>
  <c r="Z8" i="16"/>
  <c r="Z9" i="16"/>
  <c r="Z10" i="16"/>
  <c r="Z11" i="16"/>
  <c r="AB8" i="16"/>
  <c r="AB15" i="16" s="1"/>
  <c r="AB9" i="16"/>
  <c r="AB10" i="16"/>
  <c r="AB11" i="16"/>
  <c r="AB6" i="16"/>
  <c r="AC8" i="16"/>
  <c r="AO15" i="16" s="1"/>
  <c r="AC9" i="16"/>
  <c r="AC10" i="16"/>
  <c r="AC11" i="16"/>
  <c r="AC6" i="16" s="1"/>
  <c r="AD8" i="16"/>
  <c r="AD9" i="16"/>
  <c r="AD10" i="16"/>
  <c r="AD11" i="16"/>
  <c r="AE8" i="16"/>
  <c r="AX15" i="16" s="1"/>
  <c r="AE9" i="16"/>
  <c r="AQ15" i="16" s="1"/>
  <c r="AE10" i="16"/>
  <c r="AE11" i="16"/>
  <c r="AF8" i="16"/>
  <c r="AF9" i="16"/>
  <c r="AF7" i="16" s="1"/>
  <c r="AF10" i="16"/>
  <c r="AF6" i="16" s="1"/>
  <c r="AF11" i="16"/>
  <c r="AG8" i="16"/>
  <c r="AG9" i="16"/>
  <c r="AG10" i="16"/>
  <c r="AG11" i="16"/>
  <c r="AG6" i="16"/>
  <c r="AH8" i="16"/>
  <c r="AH9" i="16"/>
  <c r="AH10" i="16"/>
  <c r="AH11" i="16"/>
  <c r="AH6" i="16"/>
  <c r="AH13" i="16" s="1"/>
  <c r="AI8" i="16"/>
  <c r="AI9" i="16"/>
  <c r="AI10" i="16"/>
  <c r="AI11" i="16"/>
  <c r="AK8" i="16"/>
  <c r="AK9" i="16"/>
  <c r="AK10" i="16"/>
  <c r="AK11" i="16"/>
  <c r="AL8" i="16"/>
  <c r="AL9" i="16"/>
  <c r="AL10" i="16"/>
  <c r="AL11" i="16"/>
  <c r="AL6" i="16" s="1"/>
  <c r="AN8" i="16"/>
  <c r="AN9" i="16"/>
  <c r="AN10" i="16"/>
  <c r="AN11" i="16"/>
  <c r="AO8" i="16"/>
  <c r="AO9" i="16"/>
  <c r="AO10" i="16"/>
  <c r="AO6" i="16" s="1"/>
  <c r="AO11" i="16"/>
  <c r="AP8" i="16"/>
  <c r="AP9" i="16"/>
  <c r="BG15" i="16" s="1"/>
  <c r="AP10" i="16"/>
  <c r="AP11" i="16"/>
  <c r="AQ8" i="16"/>
  <c r="AQ9" i="16"/>
  <c r="AQ10" i="16"/>
  <c r="AQ11" i="16"/>
  <c r="AQ6" i="16"/>
  <c r="BC13" i="16" s="1"/>
  <c r="AR8" i="16"/>
  <c r="AR7" i="16" s="1"/>
  <c r="AR9" i="16"/>
  <c r="AR10" i="16"/>
  <c r="AR11" i="16"/>
  <c r="AR6" i="16"/>
  <c r="AS8" i="16"/>
  <c r="AS9" i="16"/>
  <c r="AS10" i="16"/>
  <c r="AS11" i="16"/>
  <c r="AT8" i="16"/>
  <c r="AT9" i="16"/>
  <c r="AT7" i="16" s="1"/>
  <c r="AT10" i="16"/>
  <c r="AT11" i="16"/>
  <c r="AU8" i="16"/>
  <c r="AU9" i="16"/>
  <c r="AU10" i="16"/>
  <c r="AU11" i="16"/>
  <c r="AW8" i="16"/>
  <c r="AW9" i="16"/>
  <c r="AW10" i="16"/>
  <c r="AW11" i="16"/>
  <c r="AW6" i="16"/>
  <c r="AX8" i="16"/>
  <c r="AX9" i="16"/>
  <c r="AX7" i="16" s="1"/>
  <c r="AX10" i="16"/>
  <c r="AX11" i="16"/>
  <c r="AX6" i="16"/>
  <c r="AX6" i="15" s="1"/>
  <c r="AX8" i="15" s="1"/>
  <c r="AZ8" i="16"/>
  <c r="AZ9" i="16"/>
  <c r="BA8" i="16"/>
  <c r="BA9" i="16"/>
  <c r="BA6" i="16"/>
  <c r="AD16" i="4" s="1"/>
  <c r="BB8" i="16"/>
  <c r="BB6" i="16" s="1"/>
  <c r="BB9" i="16"/>
  <c r="BC8" i="16"/>
  <c r="BC9" i="16"/>
  <c r="BC7" i="16" s="1"/>
  <c r="BC6" i="16"/>
  <c r="BD8" i="16"/>
  <c r="BD9" i="16"/>
  <c r="BE8" i="16"/>
  <c r="BE9" i="16"/>
  <c r="BE6" i="16"/>
  <c r="AF16" i="4" s="1"/>
  <c r="BG8" i="16"/>
  <c r="BG7" i="16" s="1"/>
  <c r="BG9" i="16"/>
  <c r="BG10" i="16"/>
  <c r="BG11" i="16"/>
  <c r="BH8" i="16"/>
  <c r="BH9" i="16"/>
  <c r="BH10" i="16"/>
  <c r="BH11" i="16"/>
  <c r="E7" i="16"/>
  <c r="F7" i="16"/>
  <c r="G7" i="16"/>
  <c r="H7" i="16"/>
  <c r="J7" i="16"/>
  <c r="K7" i="16"/>
  <c r="M7" i="16"/>
  <c r="T7" i="16"/>
  <c r="V7" i="16"/>
  <c r="Y7" i="16"/>
  <c r="AB7" i="16"/>
  <c r="AC7" i="16"/>
  <c r="AD7" i="16"/>
  <c r="AG7" i="16"/>
  <c r="AH7" i="16"/>
  <c r="AK7" i="16"/>
  <c r="AL7" i="16"/>
  <c r="AN7" i="16"/>
  <c r="AO7" i="16"/>
  <c r="AQ7" i="16"/>
  <c r="AW7" i="16"/>
  <c r="BA7" i="16"/>
  <c r="BE7" i="16"/>
  <c r="Q13" i="16"/>
  <c r="P15" i="16"/>
  <c r="V15" i="16"/>
  <c r="W15" i="16"/>
  <c r="AC15" i="16"/>
  <c r="AD15" i="16"/>
  <c r="AG15" i="16"/>
  <c r="AH15" i="16"/>
  <c r="AT15" i="16"/>
  <c r="AU15" i="16"/>
  <c r="BA15" i="16"/>
  <c r="T18" i="16"/>
  <c r="AD18" i="16"/>
  <c r="AF18" i="16"/>
  <c r="AG18" i="16"/>
  <c r="AD19" i="16"/>
  <c r="AF19" i="16"/>
  <c r="AG19" i="16"/>
  <c r="O20" i="16"/>
  <c r="AO6" i="15"/>
  <c r="BA6" i="15"/>
  <c r="BA8" i="15" s="1"/>
  <c r="AN7" i="15"/>
  <c r="AO7" i="15"/>
  <c r="AR7" i="15"/>
  <c r="AS7" i="15"/>
  <c r="AU7" i="15"/>
  <c r="AZ7" i="15"/>
  <c r="BA7" i="15"/>
  <c r="BB7" i="15"/>
  <c r="BC7" i="15"/>
  <c r="BE7" i="15"/>
  <c r="BG7" i="15"/>
  <c r="BH7" i="15"/>
  <c r="G8" i="15"/>
  <c r="K8" i="15"/>
  <c r="T8" i="15"/>
  <c r="AB8" i="15"/>
  <c r="AC8" i="15"/>
  <c r="AD8" i="15"/>
  <c r="AF8" i="15"/>
  <c r="G11" i="15"/>
  <c r="K11" i="15"/>
  <c r="F12" i="15"/>
  <c r="G12" i="15"/>
  <c r="H12" i="15"/>
  <c r="I12" i="15"/>
  <c r="J12" i="15"/>
  <c r="W12" i="15"/>
  <c r="AX14" i="15"/>
  <c r="BA14" i="15"/>
  <c r="AB16" i="15"/>
  <c r="AD16" i="15"/>
  <c r="AE16" i="15"/>
  <c r="AZ16" i="15"/>
  <c r="BA16" i="15"/>
  <c r="D17" i="15"/>
  <c r="E17" i="15"/>
  <c r="F17" i="15"/>
  <c r="G17" i="15"/>
  <c r="H17" i="15"/>
  <c r="I17" i="15"/>
  <c r="J17" i="15"/>
  <c r="K17" i="15"/>
  <c r="M17" i="15"/>
  <c r="N17" i="15"/>
  <c r="P17" i="15"/>
  <c r="Q17" i="15"/>
  <c r="R17" i="15"/>
  <c r="S17" i="15"/>
  <c r="T17" i="15"/>
  <c r="U17" i="15"/>
  <c r="V17" i="15"/>
  <c r="W17" i="15"/>
  <c r="Y17" i="15"/>
  <c r="Z17" i="15"/>
  <c r="AB17" i="15"/>
  <c r="AC17" i="15"/>
  <c r="AD17" i="15"/>
  <c r="AE17" i="15"/>
  <c r="AF17" i="15"/>
  <c r="AG17" i="15"/>
  <c r="AH17" i="15"/>
  <c r="AI17" i="15"/>
  <c r="AK17" i="15"/>
  <c r="AL17" i="15"/>
  <c r="AN17" i="15"/>
  <c r="AO17" i="15"/>
  <c r="AP17" i="15"/>
  <c r="AQ17" i="15"/>
  <c r="AR17" i="15"/>
  <c r="AS17" i="15"/>
  <c r="AT17" i="15"/>
  <c r="AU17" i="15"/>
  <c r="AW17" i="15"/>
  <c r="AX17" i="15"/>
  <c r="AZ17" i="15"/>
  <c r="BA17" i="15"/>
  <c r="BB17" i="15"/>
  <c r="BC17" i="15"/>
  <c r="BD17" i="15"/>
  <c r="BE17" i="15"/>
  <c r="BG17" i="15"/>
  <c r="BH17" i="15"/>
  <c r="D21" i="15"/>
  <c r="E21" i="15"/>
  <c r="F21" i="15"/>
  <c r="G21" i="15"/>
  <c r="H21" i="15"/>
  <c r="I21" i="15"/>
  <c r="J21" i="15"/>
  <c r="K21" i="15"/>
  <c r="M21" i="15"/>
  <c r="N21" i="15"/>
  <c r="P21" i="15"/>
  <c r="Q21" i="15"/>
  <c r="R21" i="15"/>
  <c r="S21" i="15"/>
  <c r="T21" i="15"/>
  <c r="U21" i="15"/>
  <c r="V21" i="15"/>
  <c r="Y21" i="15"/>
  <c r="AB21" i="15"/>
  <c r="AC21" i="15"/>
  <c r="AD21" i="15"/>
  <c r="AE21" i="15"/>
  <c r="AF21" i="15"/>
  <c r="AG21" i="15"/>
  <c r="AH21" i="15"/>
  <c r="AI21" i="15"/>
  <c r="AK21" i="15"/>
  <c r="AN21" i="15"/>
  <c r="AO21" i="15"/>
  <c r="AP21" i="15"/>
  <c r="AQ21" i="15"/>
  <c r="AR21" i="15"/>
  <c r="AS21" i="15"/>
  <c r="AT21" i="15"/>
  <c r="AU21" i="15"/>
  <c r="AW21" i="15"/>
  <c r="AZ21" i="15"/>
  <c r="BA21" i="15"/>
  <c r="BB21" i="15"/>
  <c r="BC21" i="15"/>
  <c r="BD21" i="15"/>
  <c r="BE21" i="15"/>
  <c r="BG21" i="15"/>
  <c r="D22" i="15"/>
  <c r="E22" i="15"/>
  <c r="F22" i="15"/>
  <c r="G22" i="15"/>
  <c r="H22" i="15"/>
  <c r="I22" i="15"/>
  <c r="J22" i="15"/>
  <c r="K22" i="15"/>
  <c r="M22" i="15"/>
  <c r="N22" i="15"/>
  <c r="P22" i="15"/>
  <c r="Q22" i="15"/>
  <c r="R22" i="15"/>
  <c r="S22" i="15"/>
  <c r="T22" i="15"/>
  <c r="U22" i="15"/>
  <c r="V22" i="15"/>
  <c r="W22" i="15"/>
  <c r="Y22" i="15"/>
  <c r="Z22" i="15"/>
  <c r="AB22" i="15"/>
  <c r="AC22" i="15"/>
  <c r="AD22" i="15"/>
  <c r="AE22" i="15"/>
  <c r="AF22" i="15"/>
  <c r="AG22" i="15"/>
  <c r="AH22" i="15"/>
  <c r="AI22" i="15"/>
  <c r="AK22" i="15"/>
  <c r="AL22" i="15"/>
  <c r="AN22" i="15"/>
  <c r="AO22" i="15"/>
  <c r="AP22" i="15"/>
  <c r="AQ22" i="15"/>
  <c r="AR22" i="15"/>
  <c r="AS22" i="15"/>
  <c r="AT22" i="15"/>
  <c r="AU22" i="15"/>
  <c r="AW22" i="15"/>
  <c r="AX22" i="15"/>
  <c r="AZ22" i="15"/>
  <c r="BA22" i="15"/>
  <c r="BB22" i="15"/>
  <c r="BC22" i="15"/>
  <c r="BD22" i="15"/>
  <c r="BE22" i="15"/>
  <c r="BG22" i="15"/>
  <c r="BH22" i="15"/>
  <c r="D23" i="15"/>
  <c r="F23" i="15"/>
  <c r="G23" i="15"/>
  <c r="H23" i="15"/>
  <c r="I23" i="15"/>
  <c r="J23" i="15"/>
  <c r="K23" i="15"/>
  <c r="M23" i="15"/>
  <c r="P23" i="15"/>
  <c r="Q23" i="15"/>
  <c r="R23" i="15"/>
  <c r="S23" i="15"/>
  <c r="T23" i="15"/>
  <c r="U23" i="15"/>
  <c r="V23" i="15"/>
  <c r="Y23" i="15"/>
  <c r="AB23" i="15"/>
  <c r="AD23" i="15"/>
  <c r="AE23" i="15"/>
  <c r="AF23" i="15"/>
  <c r="AH23" i="15"/>
  <c r="AI23" i="15"/>
  <c r="AN23" i="15"/>
  <c r="AO23" i="15"/>
  <c r="AP23" i="15"/>
  <c r="AQ23" i="15"/>
  <c r="AR23" i="15"/>
  <c r="AS23" i="15"/>
  <c r="AT23" i="15"/>
  <c r="AU23" i="15"/>
  <c r="AZ23" i="15"/>
  <c r="BA23" i="15"/>
  <c r="BB23" i="15"/>
  <c r="BC23" i="15"/>
  <c r="BD23" i="15"/>
  <c r="BE23" i="15"/>
  <c r="BG23" i="15"/>
  <c r="D24" i="15"/>
  <c r="E24" i="15"/>
  <c r="F24" i="15"/>
  <c r="G24" i="15"/>
  <c r="H24" i="15"/>
  <c r="I24" i="15"/>
  <c r="J24" i="15"/>
  <c r="K24" i="15"/>
  <c r="M24" i="15"/>
  <c r="N24" i="15"/>
  <c r="P24" i="15"/>
  <c r="Q24" i="15"/>
  <c r="R24" i="15"/>
  <c r="S24" i="15"/>
  <c r="T24" i="15"/>
  <c r="U24" i="15"/>
  <c r="V24" i="15"/>
  <c r="W24" i="15"/>
  <c r="Y24" i="15"/>
  <c r="Z24" i="15"/>
  <c r="AB24" i="15"/>
  <c r="AC24" i="15"/>
  <c r="AD24" i="15"/>
  <c r="AE24" i="15"/>
  <c r="AF24" i="15"/>
  <c r="AG24" i="15"/>
  <c r="AH24" i="15"/>
  <c r="AI24" i="15"/>
  <c r="AK24" i="15"/>
  <c r="AL24" i="15"/>
  <c r="AN24" i="15"/>
  <c r="AO24" i="15"/>
  <c r="AP24" i="15"/>
  <c r="AQ24" i="15"/>
  <c r="AR24" i="15"/>
  <c r="AS24" i="15"/>
  <c r="AT24" i="15"/>
  <c r="AU24" i="15"/>
  <c r="AW24" i="15"/>
  <c r="AX24" i="15"/>
  <c r="AZ24" i="15"/>
  <c r="BA24" i="15"/>
  <c r="BB24" i="15"/>
  <c r="BC24" i="15"/>
  <c r="BD24" i="15"/>
  <c r="BE24" i="15"/>
  <c r="BG24" i="15"/>
  <c r="BH24" i="15"/>
  <c r="D26" i="15"/>
  <c r="F26" i="15"/>
  <c r="H26" i="15"/>
  <c r="J26" i="15"/>
  <c r="M26" i="15"/>
  <c r="P26" i="15"/>
  <c r="R26" i="15"/>
  <c r="S26" i="15"/>
  <c r="T26" i="15"/>
  <c r="V26" i="15"/>
  <c r="Y26" i="15"/>
  <c r="AB26" i="15"/>
  <c r="AD26" i="15"/>
  <c r="AF26" i="15"/>
  <c r="AH26" i="15"/>
  <c r="AK26" i="15"/>
  <c r="AN26" i="15"/>
  <c r="AP26" i="15"/>
  <c r="AR26" i="15"/>
  <c r="AT26" i="15"/>
  <c r="AW26" i="15"/>
  <c r="AZ26" i="15"/>
  <c r="BA26" i="15"/>
  <c r="BB26" i="15"/>
  <c r="BC26" i="15"/>
  <c r="BD26" i="15"/>
  <c r="BE26" i="15"/>
  <c r="BG26" i="15"/>
  <c r="D27" i="15"/>
  <c r="E27" i="15"/>
  <c r="F27" i="15"/>
  <c r="G27" i="15"/>
  <c r="H27" i="15"/>
  <c r="I27" i="15"/>
  <c r="J27" i="15"/>
  <c r="K27" i="15"/>
  <c r="M27" i="15"/>
  <c r="N27" i="15"/>
  <c r="P27" i="15"/>
  <c r="Q27" i="15"/>
  <c r="R27" i="15"/>
  <c r="S27" i="15"/>
  <c r="T27" i="15"/>
  <c r="U27" i="15"/>
  <c r="V27" i="15"/>
  <c r="W27" i="15"/>
  <c r="Y27" i="15"/>
  <c r="Z27" i="15"/>
  <c r="AB27" i="15"/>
  <c r="AC27" i="15"/>
  <c r="AD27" i="15"/>
  <c r="AE27" i="15"/>
  <c r="AF27" i="15"/>
  <c r="AG27" i="15"/>
  <c r="AH27" i="15"/>
  <c r="AI27" i="15"/>
  <c r="AK27" i="15"/>
  <c r="AL27" i="15"/>
  <c r="AN27" i="15"/>
  <c r="AO27" i="15"/>
  <c r="AP27" i="15"/>
  <c r="AQ27" i="15"/>
  <c r="AR27" i="15"/>
  <c r="AS27" i="15"/>
  <c r="AT27" i="15"/>
  <c r="AU27" i="15"/>
  <c r="AW27" i="15"/>
  <c r="AX27" i="15"/>
  <c r="AZ27" i="15"/>
  <c r="BA27" i="15"/>
  <c r="BB27" i="15"/>
  <c r="BC27" i="15"/>
  <c r="BD27" i="15"/>
  <c r="BE27" i="15"/>
  <c r="BG27" i="15"/>
  <c r="BH27" i="15"/>
  <c r="AU28" i="15"/>
  <c r="BA28" i="15"/>
  <c r="BC28" i="15"/>
  <c r="BE28" i="15"/>
  <c r="D30" i="15"/>
  <c r="E30" i="15"/>
  <c r="F30" i="15"/>
  <c r="G30" i="15"/>
  <c r="H30" i="15"/>
  <c r="I30" i="15"/>
  <c r="J30" i="15"/>
  <c r="K30" i="15"/>
  <c r="M30" i="15"/>
  <c r="N30" i="15"/>
  <c r="P30" i="15"/>
  <c r="Q30" i="15"/>
  <c r="R30" i="15"/>
  <c r="S30" i="15"/>
  <c r="T30" i="15"/>
  <c r="U30" i="15"/>
  <c r="V30" i="15"/>
  <c r="W30" i="15"/>
  <c r="Y30" i="15"/>
  <c r="Z30" i="15"/>
  <c r="AB30" i="15"/>
  <c r="AC30" i="15"/>
  <c r="AD30" i="15"/>
  <c r="AE30" i="15"/>
  <c r="AF30" i="15"/>
  <c r="AG30" i="15"/>
  <c r="AH30" i="15"/>
  <c r="AI30" i="15"/>
  <c r="AK30" i="15"/>
  <c r="AL30" i="15"/>
  <c r="AN30" i="15"/>
  <c r="AO30" i="15"/>
  <c r="AP30" i="15"/>
  <c r="AQ30" i="15"/>
  <c r="AR30" i="15"/>
  <c r="AS30" i="15"/>
  <c r="AT30" i="15"/>
  <c r="AU30" i="15"/>
  <c r="AW30" i="15"/>
  <c r="AX30" i="15"/>
  <c r="AZ30" i="15"/>
  <c r="BA30" i="15"/>
  <c r="BB30" i="15"/>
  <c r="BC30" i="15"/>
  <c r="BD30" i="15"/>
  <c r="BE30" i="15"/>
  <c r="BG30" i="15"/>
  <c r="BH30" i="15"/>
  <c r="AC6" i="18"/>
  <c r="AI6" i="18"/>
  <c r="AE7" i="18"/>
  <c r="AF7" i="18"/>
  <c r="AG7" i="18"/>
  <c r="AI7" i="18"/>
  <c r="O9" i="18"/>
  <c r="V9" i="18"/>
  <c r="AC9" i="18"/>
  <c r="AI9" i="18"/>
  <c r="Q10" i="18"/>
  <c r="R10" i="18"/>
  <c r="S10" i="18"/>
  <c r="T10" i="18"/>
  <c r="V10" i="18"/>
  <c r="X10" i="18"/>
  <c r="Y10" i="18"/>
  <c r="Z10" i="18"/>
  <c r="AA10" i="18"/>
  <c r="AC10" i="18"/>
  <c r="AE10" i="18"/>
  <c r="AF10" i="18"/>
  <c r="AG10" i="18"/>
  <c r="AI10" i="18" s="1"/>
  <c r="H12" i="18"/>
  <c r="O12" i="18"/>
  <c r="V12" i="18"/>
  <c r="AC12" i="18"/>
  <c r="AI12" i="18"/>
  <c r="O15" i="18"/>
  <c r="V15" i="18"/>
  <c r="AC15" i="18"/>
  <c r="AI15" i="18"/>
  <c r="X16" i="18"/>
  <c r="Y16" i="18"/>
  <c r="Y17" i="18" s="1"/>
  <c r="Z16" i="18"/>
  <c r="AA16" i="18"/>
  <c r="AA17" i="18" s="1"/>
  <c r="AC16" i="18"/>
  <c r="AE16" i="18"/>
  <c r="AF16" i="18"/>
  <c r="AF17" i="18" s="1"/>
  <c r="X17" i="18"/>
  <c r="Z17" i="18"/>
  <c r="AC17" i="18"/>
  <c r="AG17" i="18"/>
  <c r="O18" i="18"/>
  <c r="V18" i="18"/>
  <c r="AC18" i="18"/>
  <c r="AI18" i="18"/>
  <c r="P21" i="18"/>
  <c r="AC13" i="16" l="1"/>
  <c r="AO13" i="16"/>
  <c r="Z6" i="16"/>
  <c r="Z15" i="16"/>
  <c r="Z7" i="16"/>
  <c r="AL15" i="16"/>
  <c r="AL13" i="16"/>
  <c r="AS6" i="16"/>
  <c r="AS7" i="16"/>
  <c r="AS15" i="16"/>
  <c r="BE15" i="16"/>
  <c r="R23" i="14"/>
  <c r="U13" i="14"/>
  <c r="E13" i="3"/>
  <c r="D30" i="6"/>
  <c r="D32" i="6" s="1"/>
  <c r="AP10" i="17"/>
  <c r="AP7" i="15"/>
  <c r="BG10" i="17"/>
  <c r="R10" i="17"/>
  <c r="F13" i="17"/>
  <c r="AE18" i="16"/>
  <c r="Q44" i="6"/>
  <c r="AE19" i="16" s="1"/>
  <c r="BD6" i="16"/>
  <c r="BD15" i="16"/>
  <c r="BD7" i="16"/>
  <c r="AU6" i="16"/>
  <c r="K43" i="6"/>
  <c r="K33" i="6"/>
  <c r="T19" i="16" s="1"/>
  <c r="G14" i="8"/>
  <c r="C15" i="14"/>
  <c r="G15" i="14" s="1"/>
  <c r="L24" i="3"/>
  <c r="L16" i="3"/>
  <c r="AI16" i="18"/>
  <c r="AE17" i="18"/>
  <c r="AI17" i="18" s="1"/>
  <c r="AE16" i="4"/>
  <c r="BC6" i="15"/>
  <c r="U57" i="6"/>
  <c r="Z61" i="6"/>
  <c r="AT12" i="17"/>
  <c r="Z51" i="6"/>
  <c r="P20" i="14"/>
  <c r="U20" i="14" s="1"/>
  <c r="U19" i="8"/>
  <c r="AB8" i="5"/>
  <c r="X7" i="3"/>
  <c r="AZ6" i="16"/>
  <c r="AZ7" i="16"/>
  <c r="AZ15" i="16"/>
  <c r="Y43" i="6"/>
  <c r="Y33" i="6"/>
  <c r="AR19" i="16" s="1"/>
  <c r="M12" i="15"/>
  <c r="D12" i="15"/>
  <c r="S6" i="16"/>
  <c r="S13" i="16" s="1"/>
  <c r="S15" i="16"/>
  <c r="S7" i="16"/>
  <c r="AW6" i="15"/>
  <c r="AW13" i="16"/>
  <c r="R14" i="17"/>
  <c r="R13" i="17"/>
  <c r="AP12" i="15"/>
  <c r="AA13" i="3"/>
  <c r="Z30" i="6"/>
  <c r="Z32" i="6" s="1"/>
  <c r="J12" i="17"/>
  <c r="J13" i="17" s="1"/>
  <c r="E61" i="6"/>
  <c r="E51" i="6"/>
  <c r="Y61" i="6"/>
  <c r="AR12" i="17"/>
  <c r="AR6" i="15"/>
  <c r="AR13" i="16"/>
  <c r="BH10" i="17"/>
  <c r="C30" i="6"/>
  <c r="C32" i="6" s="1"/>
  <c r="D13" i="3"/>
  <c r="AE8" i="4"/>
  <c r="AE30" i="6"/>
  <c r="AE32" i="6" s="1"/>
  <c r="BB6" i="15"/>
  <c r="BB13" i="16"/>
  <c r="T6" i="16"/>
  <c r="T13" i="16" s="1"/>
  <c r="T15" i="16"/>
  <c r="AF15" i="16"/>
  <c r="AI10" i="17"/>
  <c r="AI7" i="16"/>
  <c r="AI6" i="16"/>
  <c r="AI13" i="16" s="1"/>
  <c r="D6" i="16"/>
  <c r="D7" i="16"/>
  <c r="D61" i="6"/>
  <c r="D51" i="6"/>
  <c r="H12" i="17"/>
  <c r="H13" i="17" s="1"/>
  <c r="Q61" i="6"/>
  <c r="AD12" i="17"/>
  <c r="Q51" i="6"/>
  <c r="X50" i="6"/>
  <c r="AB48" i="6"/>
  <c r="Y15" i="3"/>
  <c r="Y31" i="3"/>
  <c r="U15" i="16"/>
  <c r="AQ6" i="15"/>
  <c r="AF14" i="17"/>
  <c r="T13" i="17"/>
  <c r="K62" i="6"/>
  <c r="U12" i="17"/>
  <c r="AR18" i="16"/>
  <c r="AR20" i="16" s="1"/>
  <c r="N6" i="16"/>
  <c r="N7" i="16"/>
  <c r="E12" i="17"/>
  <c r="E13" i="17" s="1"/>
  <c r="B62" i="6"/>
  <c r="U60" i="6"/>
  <c r="P61" i="6"/>
  <c r="R62" i="6"/>
  <c r="AG12" i="17"/>
  <c r="G17" i="6"/>
  <c r="B36" i="7"/>
  <c r="G28" i="7"/>
  <c r="U18" i="7"/>
  <c r="AL21" i="15" s="1"/>
  <c r="AF20" i="16"/>
  <c r="AI15" i="16"/>
  <c r="AQ6" i="17"/>
  <c r="W20" i="4"/>
  <c r="AB31" i="6"/>
  <c r="BH6" i="16"/>
  <c r="BH7" i="16"/>
  <c r="BH15" i="16"/>
  <c r="AP15" i="16"/>
  <c r="I6" i="16"/>
  <c r="U13" i="16" s="1"/>
  <c r="AW6" i="17"/>
  <c r="AB59" i="6"/>
  <c r="N36" i="7"/>
  <c r="Z23" i="15" s="1"/>
  <c r="N14" i="14"/>
  <c r="BA13" i="16"/>
  <c r="BG6" i="16"/>
  <c r="BC15" i="16"/>
  <c r="AT6" i="16"/>
  <c r="Q7" i="16"/>
  <c r="Q15" i="16"/>
  <c r="B51" i="6"/>
  <c r="D12" i="17"/>
  <c r="D13" i="17" s="1"/>
  <c r="G10" i="14"/>
  <c r="AW15" i="16"/>
  <c r="BB7" i="16"/>
  <c r="Y15" i="16"/>
  <c r="Y6" i="16"/>
  <c r="Y13" i="16" s="1"/>
  <c r="F6" i="16"/>
  <c r="R13" i="16" s="1"/>
  <c r="AU10" i="17"/>
  <c r="AH23" i="14"/>
  <c r="N12" i="5"/>
  <c r="I7" i="16"/>
  <c r="BB15" i="16"/>
  <c r="AH13" i="17"/>
  <c r="AH14" i="17"/>
  <c r="AF48" i="6"/>
  <c r="AF50" i="6" s="1"/>
  <c r="BD10" i="17"/>
  <c r="BD7" i="15"/>
  <c r="AT6" i="17"/>
  <c r="AN10" i="17"/>
  <c r="B20" i="4"/>
  <c r="G15" i="4"/>
  <c r="G20" i="4" s="1"/>
  <c r="M13" i="3"/>
  <c r="L30" i="6"/>
  <c r="L32" i="6" s="1"/>
  <c r="AR15" i="16"/>
  <c r="AK6" i="16"/>
  <c r="AE6" i="16"/>
  <c r="AE13" i="16" s="1"/>
  <c r="AE7" i="16"/>
  <c r="AE15" i="16"/>
  <c r="P6" i="16"/>
  <c r="P13" i="16" s="1"/>
  <c r="P7" i="16"/>
  <c r="BC10" i="17"/>
  <c r="W61" i="6"/>
  <c r="AN12" i="17"/>
  <c r="W51" i="6"/>
  <c r="X31" i="3"/>
  <c r="AG13" i="16"/>
  <c r="AU7" i="16"/>
  <c r="BE6" i="15"/>
  <c r="BE13" i="16"/>
  <c r="W12" i="4"/>
  <c r="P33" i="6"/>
  <c r="AB19" i="16" s="1"/>
  <c r="P43" i="6"/>
  <c r="AB18" i="16"/>
  <c r="AB18" i="7"/>
  <c r="AX21" i="15" s="1"/>
  <c r="AF24" i="14"/>
  <c r="BE29" i="15" s="1"/>
  <c r="T6" i="3"/>
  <c r="K7" i="6"/>
  <c r="K14" i="6" s="1"/>
  <c r="R7" i="4"/>
  <c r="R12" i="4" s="1"/>
  <c r="AO10" i="17"/>
  <c r="AC10" i="17"/>
  <c r="T10" i="17"/>
  <c r="J61" i="6"/>
  <c r="J51" i="6"/>
  <c r="AH31" i="6"/>
  <c r="AH12" i="6"/>
  <c r="AE24" i="14"/>
  <c r="BC29" i="15" s="1"/>
  <c r="U21" i="11"/>
  <c r="Q22" i="3"/>
  <c r="P16" i="4"/>
  <c r="S12" i="15"/>
  <c r="AK15" i="16"/>
  <c r="AP7" i="16"/>
  <c r="AP6" i="16"/>
  <c r="AN6" i="16"/>
  <c r="AN15" i="16"/>
  <c r="AB53" i="6"/>
  <c r="G50" i="6"/>
  <c r="N48" i="6"/>
  <c r="U33" i="7"/>
  <c r="P36" i="7"/>
  <c r="AD24" i="14"/>
  <c r="BA29" i="15" s="1"/>
  <c r="K24" i="3"/>
  <c r="R7" i="14"/>
  <c r="R8" i="4"/>
  <c r="R7" i="6"/>
  <c r="R14" i="6" s="1"/>
  <c r="AB10" i="5"/>
  <c r="AD6" i="16"/>
  <c r="AD13" i="16" s="1"/>
  <c r="K6" i="16"/>
  <c r="W13" i="16" s="1"/>
  <c r="AH60" i="6"/>
  <c r="C61" i="6"/>
  <c r="C51" i="6"/>
  <c r="AB36" i="7"/>
  <c r="AX23" i="15" s="1"/>
  <c r="AC10" i="3"/>
  <c r="T31" i="3"/>
  <c r="N16" i="5"/>
  <c r="J25" i="3"/>
  <c r="N49" i="6"/>
  <c r="X19" i="3"/>
  <c r="AC28" i="3"/>
  <c r="E15" i="3"/>
  <c r="E31" i="3"/>
  <c r="S15" i="3"/>
  <c r="S31" i="3"/>
  <c r="AE48" i="6"/>
  <c r="AE50" i="6" s="1"/>
  <c r="BB10" i="17"/>
  <c r="S61" i="6"/>
  <c r="U56" i="6"/>
  <c r="L20" i="14"/>
  <c r="N20" i="14" s="1"/>
  <c r="L22" i="8"/>
  <c r="W26" i="15" s="1"/>
  <c r="F6" i="3"/>
  <c r="F16" i="3"/>
  <c r="N57" i="6"/>
  <c r="O19" i="3"/>
  <c r="D16" i="3"/>
  <c r="V14" i="17"/>
  <c r="AD50" i="6"/>
  <c r="L56" i="6"/>
  <c r="L61" i="6" s="1"/>
  <c r="AB49" i="6"/>
  <c r="P51" i="6"/>
  <c r="AB12" i="17"/>
  <c r="U50" i="6"/>
  <c r="P25" i="6"/>
  <c r="G13" i="14"/>
  <c r="AC25" i="3"/>
  <c r="N59" i="6"/>
  <c r="I50" i="6"/>
  <c r="AH18" i="7"/>
  <c r="BH21" i="15" s="1"/>
  <c r="S23" i="14"/>
  <c r="R31" i="3"/>
  <c r="R15" i="3"/>
  <c r="Z12" i="5"/>
  <c r="D12" i="5"/>
  <c r="G16" i="8"/>
  <c r="AB17" i="14"/>
  <c r="B17" i="14"/>
  <c r="G17" i="14" s="1"/>
  <c r="V25" i="3"/>
  <c r="V24" i="3" s="1"/>
  <c r="AA16" i="3"/>
  <c r="AA24" i="3"/>
  <c r="C12" i="5"/>
  <c r="Y23" i="14"/>
  <c r="H20" i="3"/>
  <c r="O17" i="3"/>
  <c r="F15" i="3"/>
  <c r="K13" i="3"/>
  <c r="J30" i="6"/>
  <c r="J32" i="6" s="1"/>
  <c r="Y12" i="5"/>
  <c r="G11" i="5"/>
  <c r="U59" i="6"/>
  <c r="AH36" i="7"/>
  <c r="BH23" i="15" s="1"/>
  <c r="N18" i="7"/>
  <c r="Z21" i="15" s="1"/>
  <c r="X23" i="14"/>
  <c r="E16" i="3"/>
  <c r="Z16" i="3"/>
  <c r="Z24" i="3"/>
  <c r="AC24" i="3" s="1"/>
  <c r="G16" i="5"/>
  <c r="C25" i="3"/>
  <c r="M24" i="3"/>
  <c r="M16" i="3"/>
  <c r="AH16" i="5"/>
  <c r="AH12" i="5" s="1"/>
  <c r="K22" i="8"/>
  <c r="U26" i="15" s="1"/>
  <c r="AB15" i="11"/>
  <c r="C19" i="3"/>
  <c r="H19" i="3" s="1"/>
  <c r="Q15" i="3"/>
  <c r="D15" i="3"/>
  <c r="W12" i="5"/>
  <c r="D22" i="3"/>
  <c r="U12" i="5"/>
  <c r="N8" i="5"/>
  <c r="J7" i="3"/>
  <c r="N12" i="6"/>
  <c r="Y19" i="3"/>
  <c r="O10" i="3"/>
  <c r="S12" i="5"/>
  <c r="Z13" i="3"/>
  <c r="Y7" i="3"/>
  <c r="Y6" i="3" s="1"/>
  <c r="X12" i="5"/>
  <c r="B8" i="5"/>
  <c r="AB16" i="5"/>
  <c r="C7" i="3" l="1"/>
  <c r="G8" i="5"/>
  <c r="B12" i="5"/>
  <c r="G12" i="5" s="1"/>
  <c r="C12" i="14"/>
  <c r="C23" i="14" s="1"/>
  <c r="C9" i="8"/>
  <c r="C22" i="8" s="1"/>
  <c r="G26" i="15" s="1"/>
  <c r="C16" i="6"/>
  <c r="AN12" i="15"/>
  <c r="U16" i="4"/>
  <c r="AB13" i="17"/>
  <c r="AB14" i="17"/>
  <c r="C62" i="6"/>
  <c r="G12" i="17"/>
  <c r="G13" i="17" s="1"/>
  <c r="AD14" i="17"/>
  <c r="AD13" i="17"/>
  <c r="AR8" i="15"/>
  <c r="AR14" i="15"/>
  <c r="Y44" i="6"/>
  <c r="AS19" i="16" s="1"/>
  <c r="AS18" i="16"/>
  <c r="AS20" i="16" s="1"/>
  <c r="L7" i="6"/>
  <c r="L14" i="6" s="1"/>
  <c r="S7" i="4"/>
  <c r="S12" i="4" s="1"/>
  <c r="L7" i="14"/>
  <c r="V8" i="15"/>
  <c r="L8" i="4"/>
  <c r="C7" i="6"/>
  <c r="C14" i="6" s="1"/>
  <c r="F16" i="15" s="1"/>
  <c r="C7" i="14"/>
  <c r="C8" i="4"/>
  <c r="C10" i="4" s="1"/>
  <c r="J7" i="4"/>
  <c r="J12" i="4" s="1"/>
  <c r="F8" i="15"/>
  <c r="X30" i="6"/>
  <c r="X32" i="6" s="1"/>
  <c r="Y13" i="3"/>
  <c r="E22" i="3"/>
  <c r="D16" i="4"/>
  <c r="D18" i="4" s="1"/>
  <c r="I8" i="15"/>
  <c r="K15" i="4"/>
  <c r="K20" i="4" s="1"/>
  <c r="AS6" i="15"/>
  <c r="AS13" i="16"/>
  <c r="T13" i="3"/>
  <c r="S30" i="6"/>
  <c r="V6" i="3"/>
  <c r="AR13" i="17"/>
  <c r="AR14" i="17"/>
  <c r="AB13" i="16"/>
  <c r="AF13" i="16"/>
  <c r="AW7" i="15"/>
  <c r="AW8" i="15" s="1"/>
  <c r="AW10" i="17"/>
  <c r="J33" i="6"/>
  <c r="R19" i="16" s="1"/>
  <c r="J43" i="6"/>
  <c r="R18" i="16"/>
  <c r="K31" i="3"/>
  <c r="K15" i="3"/>
  <c r="Q7" i="4"/>
  <c r="J7" i="14"/>
  <c r="J8" i="4"/>
  <c r="J10" i="4" s="1"/>
  <c r="R11" i="15" s="1"/>
  <c r="J7" i="6"/>
  <c r="J14" i="6" s="1"/>
  <c r="R8" i="15"/>
  <c r="C33" i="6"/>
  <c r="F19" i="16" s="1"/>
  <c r="F18" i="16"/>
  <c r="AF12" i="15"/>
  <c r="AF7" i="4"/>
  <c r="AF12" i="4" s="1"/>
  <c r="Y7" i="14"/>
  <c r="Y8" i="4"/>
  <c r="Y10" i="4" s="1"/>
  <c r="Y7" i="6"/>
  <c r="Y14" i="6" s="1"/>
  <c r="BE8" i="15"/>
  <c r="BE10" i="15" s="1"/>
  <c r="BE14" i="15"/>
  <c r="U14" i="17"/>
  <c r="U13" i="17"/>
  <c r="Z62" i="6"/>
  <c r="AU12" i="17"/>
  <c r="F13" i="3"/>
  <c r="E30" i="6"/>
  <c r="E32" i="6" s="1"/>
  <c r="P9" i="8"/>
  <c r="P12" i="14"/>
  <c r="Y62" i="6"/>
  <c r="AS12" i="17"/>
  <c r="AU13" i="16"/>
  <c r="AU6" i="15"/>
  <c r="BD12" i="17"/>
  <c r="AF61" i="6"/>
  <c r="AF51" i="6"/>
  <c r="U61" i="6"/>
  <c r="AC12" i="17"/>
  <c r="P62" i="6"/>
  <c r="T14" i="17"/>
  <c r="T22" i="3"/>
  <c r="S9" i="8" s="1"/>
  <c r="S22" i="8" s="1"/>
  <c r="AI26" i="15" s="1"/>
  <c r="S16" i="4"/>
  <c r="Z15" i="4"/>
  <c r="Z20" i="4" s="1"/>
  <c r="AI8" i="15"/>
  <c r="AH24" i="14"/>
  <c r="BH29" i="15" s="1"/>
  <c r="BH28" i="15"/>
  <c r="AE12" i="17"/>
  <c r="Q62" i="6"/>
  <c r="AC19" i="3"/>
  <c r="AW14" i="15"/>
  <c r="S24" i="14"/>
  <c r="AI29" i="15" s="1"/>
  <c r="AI28" i="15"/>
  <c r="L62" i="6"/>
  <c r="W12" i="17"/>
  <c r="P44" i="6"/>
  <c r="AC19" i="16" s="1"/>
  <c r="AC18" i="16"/>
  <c r="AO12" i="15"/>
  <c r="AQ13" i="16"/>
  <c r="I12" i="17"/>
  <c r="I13" i="17" s="1"/>
  <c r="D62" i="6"/>
  <c r="BB14" i="15"/>
  <c r="BB8" i="15"/>
  <c r="AE7" i="6" s="1"/>
  <c r="E62" i="6"/>
  <c r="K12" i="17"/>
  <c r="K13" i="17" s="1"/>
  <c r="AD8" i="4"/>
  <c r="AZ6" i="15"/>
  <c r="AD30" i="6"/>
  <c r="AZ13" i="16"/>
  <c r="D33" i="6"/>
  <c r="H19" i="16" s="1"/>
  <c r="H18" i="16"/>
  <c r="T20" i="16" s="1"/>
  <c r="AT14" i="17"/>
  <c r="AT13" i="17"/>
  <c r="K44" i="6"/>
  <c r="U19" i="16" s="1"/>
  <c r="U18" i="16"/>
  <c r="AT13" i="16"/>
  <c r="AT6" i="15"/>
  <c r="AG13" i="17"/>
  <c r="AG14" i="17"/>
  <c r="BH6" i="15"/>
  <c r="BH13" i="16"/>
  <c r="W16" i="4"/>
  <c r="AO8" i="15"/>
  <c r="AD15" i="4"/>
  <c r="I61" i="6"/>
  <c r="I51" i="6"/>
  <c r="N50" i="6"/>
  <c r="P12" i="17"/>
  <c r="S62" i="6"/>
  <c r="AI12" i="17"/>
  <c r="AF16" i="15"/>
  <c r="AF19" i="15" s="1"/>
  <c r="R25" i="6"/>
  <c r="AG16" i="15" s="1"/>
  <c r="AH16" i="4"/>
  <c r="AQ14" i="15"/>
  <c r="AE43" i="6"/>
  <c r="AE33" i="6"/>
  <c r="BB19" i="16" s="1"/>
  <c r="BB18" i="16"/>
  <c r="X6" i="3"/>
  <c r="AC7" i="3"/>
  <c r="X16" i="3"/>
  <c r="AC16" i="3" s="1"/>
  <c r="AF8" i="4"/>
  <c r="AF30" i="6"/>
  <c r="AF32" i="6" s="1"/>
  <c r="BD13" i="16"/>
  <c r="BD6" i="15"/>
  <c r="D7" i="6"/>
  <c r="D14" i="6" s="1"/>
  <c r="H16" i="15" s="1"/>
  <c r="D7" i="14"/>
  <c r="K7" i="4"/>
  <c r="D8" i="4"/>
  <c r="D10" i="4" s="1"/>
  <c r="H8" i="15"/>
  <c r="Z13" i="16"/>
  <c r="Z7" i="14"/>
  <c r="Z8" i="4"/>
  <c r="Z7" i="6"/>
  <c r="Z14" i="6" s="1"/>
  <c r="H25" i="3"/>
  <c r="H24" i="3" s="1"/>
  <c r="C24" i="3"/>
  <c r="C16" i="3"/>
  <c r="H16" i="3" s="1"/>
  <c r="U36" i="7"/>
  <c r="AL23" i="15" s="1"/>
  <c r="AC23" i="15"/>
  <c r="E12" i="15"/>
  <c r="X61" i="6"/>
  <c r="AB61" i="6" s="1"/>
  <c r="AX12" i="17" s="1"/>
  <c r="AP12" i="17"/>
  <c r="X51" i="6"/>
  <c r="AB50" i="6"/>
  <c r="Z15" i="3"/>
  <c r="Z31" i="3"/>
  <c r="AT7" i="15"/>
  <c r="AT10" i="17"/>
  <c r="M12" i="17"/>
  <c r="M13" i="17" s="1"/>
  <c r="G51" i="6"/>
  <c r="X24" i="14"/>
  <c r="AQ29" i="15" s="1"/>
  <c r="AQ28" i="15"/>
  <c r="R22" i="3"/>
  <c r="Q16" i="4"/>
  <c r="X15" i="4"/>
  <c r="V31" i="3"/>
  <c r="AL8" i="15" s="1"/>
  <c r="AE8" i="15"/>
  <c r="BG13" i="16"/>
  <c r="BG6" i="15"/>
  <c r="BC14" i="15"/>
  <c r="BC8" i="15"/>
  <c r="BC10" i="15" s="1"/>
  <c r="AD51" i="6"/>
  <c r="AH50" i="6"/>
  <c r="AD61" i="6"/>
  <c r="AZ12" i="17"/>
  <c r="J16" i="3"/>
  <c r="O16" i="3" s="1"/>
  <c r="O25" i="3"/>
  <c r="O24" i="3" s="1"/>
  <c r="J24" i="3"/>
  <c r="R10" i="4"/>
  <c r="AF11" i="15" s="1"/>
  <c r="AN13" i="16"/>
  <c r="AN6" i="15"/>
  <c r="J62" i="6"/>
  <c r="S12" i="17"/>
  <c r="AQ10" i="17"/>
  <c r="AQ7" i="15"/>
  <c r="AQ8" i="15" s="1"/>
  <c r="AE7" i="14"/>
  <c r="R16" i="4"/>
  <c r="S22" i="3"/>
  <c r="R9" i="8" s="1"/>
  <c r="R22" i="8" s="1"/>
  <c r="AG26" i="15" s="1"/>
  <c r="Y15" i="4"/>
  <c r="Y20" i="4" s="1"/>
  <c r="AG8" i="15"/>
  <c r="AO12" i="17"/>
  <c r="W62" i="6"/>
  <c r="AC16" i="15"/>
  <c r="N12" i="15"/>
  <c r="AB12" i="5"/>
  <c r="U51" i="6"/>
  <c r="AK12" i="17"/>
  <c r="K25" i="6"/>
  <c r="U16" i="15" s="1"/>
  <c r="T16" i="15"/>
  <c r="G36" i="7"/>
  <c r="N23" i="15" s="1"/>
  <c r="E23" i="15"/>
  <c r="Y16" i="3"/>
  <c r="Y24" i="14"/>
  <c r="AS29" i="15" s="1"/>
  <c r="AS28" i="15"/>
  <c r="AA15" i="3"/>
  <c r="AA31" i="3"/>
  <c r="AC31" i="3" s="1"/>
  <c r="AH48" i="6"/>
  <c r="AK13" i="16"/>
  <c r="J6" i="3"/>
  <c r="O7" i="3"/>
  <c r="O6" i="3" s="1"/>
  <c r="M31" i="3"/>
  <c r="M15" i="3"/>
  <c r="BB12" i="17"/>
  <c r="AE51" i="6"/>
  <c r="AE61" i="6"/>
  <c r="T15" i="3"/>
  <c r="V15" i="3" s="1"/>
  <c r="AP13" i="16"/>
  <c r="AP6" i="15"/>
  <c r="N56" i="6"/>
  <c r="AN13" i="17"/>
  <c r="AN14" i="17"/>
  <c r="L43" i="6"/>
  <c r="V18" i="16"/>
  <c r="L33" i="6"/>
  <c r="V19" i="16" s="1"/>
  <c r="G61" i="6"/>
  <c r="AE15" i="4"/>
  <c r="AE20" i="4" s="1"/>
  <c r="Y22" i="3"/>
  <c r="X9" i="8" s="1"/>
  <c r="X22" i="8" s="1"/>
  <c r="AQ26" i="15" s="1"/>
  <c r="X16" i="4"/>
  <c r="X18" i="4" s="1"/>
  <c r="AQ11" i="15" s="1"/>
  <c r="AX13" i="16"/>
  <c r="Z33" i="6"/>
  <c r="AT19" i="16" s="1"/>
  <c r="Z43" i="6"/>
  <c r="AT18" i="16"/>
  <c r="L15" i="3"/>
  <c r="L31" i="3"/>
  <c r="R24" i="14"/>
  <c r="AG29" i="15" s="1"/>
  <c r="AG28" i="15"/>
  <c r="AX14" i="17" l="1"/>
  <c r="AX13" i="17"/>
  <c r="AP14" i="15"/>
  <c r="AP8" i="15"/>
  <c r="Y12" i="17"/>
  <c r="N51" i="6"/>
  <c r="AE44" i="6"/>
  <c r="BC19" i="16" s="1"/>
  <c r="BC18" i="16"/>
  <c r="AH12" i="15"/>
  <c r="S13" i="17"/>
  <c r="S14" i="17"/>
  <c r="AD20" i="4"/>
  <c r="AD18" i="4"/>
  <c r="BA11" i="15" s="1"/>
  <c r="AU12" i="15"/>
  <c r="D16" i="6"/>
  <c r="D9" i="8"/>
  <c r="D22" i="8" s="1"/>
  <c r="I26" i="15" s="1"/>
  <c r="D12" i="14"/>
  <c r="D23" i="14" s="1"/>
  <c r="V16" i="15"/>
  <c r="V19" i="15" s="1"/>
  <c r="L25" i="6"/>
  <c r="W16" i="15" s="1"/>
  <c r="AE19" i="4"/>
  <c r="BC12" i="15"/>
  <c r="AE14" i="6"/>
  <c r="S18" i="4"/>
  <c r="AI11" i="15" s="1"/>
  <c r="AS14" i="17"/>
  <c r="AS13" i="17"/>
  <c r="X7" i="14"/>
  <c r="AE7" i="4"/>
  <c r="X7" i="6"/>
  <c r="X14" i="6" s="1"/>
  <c r="X8" i="4"/>
  <c r="X10" i="4" s="1"/>
  <c r="Q12" i="14"/>
  <c r="Q23" i="14" s="1"/>
  <c r="Q9" i="8"/>
  <c r="Q22" i="8" s="1"/>
  <c r="AE26" i="15" s="1"/>
  <c r="I62" i="6"/>
  <c r="N61" i="6"/>
  <c r="Q12" i="17"/>
  <c r="AG20" i="16"/>
  <c r="J25" i="6"/>
  <c r="S16" i="15" s="1"/>
  <c r="R16" i="15"/>
  <c r="G62" i="6"/>
  <c r="N12" i="17"/>
  <c r="N13" i="17" s="1"/>
  <c r="BB13" i="17"/>
  <c r="BB14" i="17"/>
  <c r="BD14" i="15"/>
  <c r="BD8" i="15"/>
  <c r="Y25" i="6"/>
  <c r="AS16" i="15" s="1"/>
  <c r="AS19" i="15" s="1"/>
  <c r="AR16" i="15"/>
  <c r="AR19" i="15" s="1"/>
  <c r="X43" i="6"/>
  <c r="X33" i="6"/>
  <c r="AP19" i="16" s="1"/>
  <c r="AP18" i="16"/>
  <c r="AP20" i="16" s="1"/>
  <c r="Z16" i="4"/>
  <c r="Z18" i="4" s="1"/>
  <c r="AU11" i="15" s="1"/>
  <c r="AA22" i="3"/>
  <c r="Z9" i="8" s="1"/>
  <c r="Z22" i="8" s="1"/>
  <c r="AU26" i="15" s="1"/>
  <c r="Z24" i="14"/>
  <c r="AU29" i="15" s="1"/>
  <c r="X62" i="6"/>
  <c r="AQ12" i="17"/>
  <c r="BB20" i="16"/>
  <c r="AD62" i="6"/>
  <c r="BA12" i="17"/>
  <c r="AH61" i="6"/>
  <c r="H11" i="15"/>
  <c r="D11" i="4"/>
  <c r="AH8" i="4"/>
  <c r="AD7" i="14"/>
  <c r="BD13" i="17"/>
  <c r="BD14" i="17"/>
  <c r="W14" i="17"/>
  <c r="W13" i="17"/>
  <c r="AO13" i="17"/>
  <c r="AO14" i="17"/>
  <c r="BG8" i="15"/>
  <c r="BG10" i="15" s="1"/>
  <c r="BG14" i="15"/>
  <c r="AE18" i="4"/>
  <c r="BC11" i="15" s="1"/>
  <c r="P23" i="14"/>
  <c r="AR11" i="15"/>
  <c r="Y11" i="4"/>
  <c r="Q12" i="4"/>
  <c r="Q10" i="4"/>
  <c r="AD11" i="15" s="1"/>
  <c r="C35" i="6"/>
  <c r="C43" i="6" s="1"/>
  <c r="C25" i="6"/>
  <c r="G16" i="15" s="1"/>
  <c r="AU8" i="15"/>
  <c r="AU14" i="15"/>
  <c r="BC12" i="17"/>
  <c r="AE62" i="6"/>
  <c r="C31" i="3"/>
  <c r="W18" i="4"/>
  <c r="AB16" i="4"/>
  <c r="AB18" i="4" s="1"/>
  <c r="AX11" i="15" s="1"/>
  <c r="M22" i="3"/>
  <c r="L12" i="14" s="1"/>
  <c r="L23" i="14" s="1"/>
  <c r="L16" i="4"/>
  <c r="L18" i="4" s="1"/>
  <c r="S15" i="4"/>
  <c r="S20" i="4" s="1"/>
  <c r="W8" i="15"/>
  <c r="T19" i="15"/>
  <c r="AF15" i="4"/>
  <c r="Z22" i="3"/>
  <c r="Y9" i="8" s="1"/>
  <c r="Y22" i="8" s="1"/>
  <c r="AS26" i="15" s="1"/>
  <c r="Y16" i="4"/>
  <c r="Y18" i="4" s="1"/>
  <c r="AS11" i="15" s="1"/>
  <c r="AF33" i="6"/>
  <c r="BD19" i="16" s="1"/>
  <c r="BD18" i="16"/>
  <c r="BD20" i="16" s="1"/>
  <c r="AF43" i="6"/>
  <c r="AG19" i="15"/>
  <c r="U9" i="8"/>
  <c r="P22" i="8"/>
  <c r="S32" i="6"/>
  <c r="U30" i="6"/>
  <c r="J11" i="4"/>
  <c r="R12" i="15"/>
  <c r="L22" i="3"/>
  <c r="K12" i="14" s="1"/>
  <c r="K23" i="14" s="1"/>
  <c r="R15" i="4"/>
  <c r="R20" i="4" s="1"/>
  <c r="K16" i="4"/>
  <c r="K18" i="4" s="1"/>
  <c r="U11" i="15" s="1"/>
  <c r="U8" i="15"/>
  <c r="L44" i="6"/>
  <c r="W19" i="16" s="1"/>
  <c r="W18" i="16"/>
  <c r="Y19" i="4"/>
  <c r="AS12" i="15"/>
  <c r="Z25" i="6"/>
  <c r="AU16" i="15" s="1"/>
  <c r="AT16" i="15"/>
  <c r="AF7" i="14"/>
  <c r="AF10" i="4"/>
  <c r="BD11" i="15" s="1"/>
  <c r="V22" i="3"/>
  <c r="AF11" i="4"/>
  <c r="BD12" i="15"/>
  <c r="K22" i="3"/>
  <c r="J12" i="14" s="1"/>
  <c r="J23" i="14" s="1"/>
  <c r="Q15" i="4"/>
  <c r="Q20" i="4" s="1"/>
  <c r="J16" i="4"/>
  <c r="J18" i="4" s="1"/>
  <c r="S8" i="15"/>
  <c r="S7" i="14"/>
  <c r="S8" i="4"/>
  <c r="Z7" i="4"/>
  <c r="S7" i="6"/>
  <c r="AH8" i="15"/>
  <c r="V13" i="3"/>
  <c r="C11" i="4"/>
  <c r="F11" i="15"/>
  <c r="C24" i="14"/>
  <c r="G29" i="15" s="1"/>
  <c r="G28" i="15"/>
  <c r="I11" i="15"/>
  <c r="D19" i="4"/>
  <c r="AK14" i="17"/>
  <c r="AK13" i="17"/>
  <c r="AW12" i="17"/>
  <c r="AB51" i="6"/>
  <c r="AD20" i="16"/>
  <c r="R20" i="16"/>
  <c r="AZ14" i="17"/>
  <c r="AZ13" i="17"/>
  <c r="AH51" i="6"/>
  <c r="BG12" i="17"/>
  <c r="K12" i="4"/>
  <c r="K10" i="4"/>
  <c r="T11" i="15" s="1"/>
  <c r="J13" i="3"/>
  <c r="I30" i="6"/>
  <c r="Z10" i="4"/>
  <c r="AT11" i="15" s="1"/>
  <c r="AI14" i="17"/>
  <c r="AI13" i="17"/>
  <c r="AC13" i="17"/>
  <c r="AC14" i="17"/>
  <c r="E33" i="6"/>
  <c r="J19" i="16" s="1"/>
  <c r="J18" i="16"/>
  <c r="V20" i="16" s="1"/>
  <c r="X20" i="4"/>
  <c r="AB15" i="4"/>
  <c r="AB20" i="4" s="1"/>
  <c r="AE14" i="17"/>
  <c r="AE13" i="17"/>
  <c r="U62" i="6"/>
  <c r="AL12" i="17"/>
  <c r="J44" i="6"/>
  <c r="S19" i="16" s="1"/>
  <c r="S18" i="16"/>
  <c r="AZ14" i="15"/>
  <c r="AZ8" i="15"/>
  <c r="AF62" i="6"/>
  <c r="BE12" i="17"/>
  <c r="K19" i="4"/>
  <c r="U12" i="15"/>
  <c r="AT14" i="15"/>
  <c r="AT8" i="15"/>
  <c r="J15" i="3"/>
  <c r="O15" i="3" s="1"/>
  <c r="J31" i="3"/>
  <c r="R18" i="4"/>
  <c r="AG11" i="15" s="1"/>
  <c r="BH8" i="15"/>
  <c r="BH10" i="15" s="1"/>
  <c r="BH14" i="15"/>
  <c r="E7" i="14"/>
  <c r="E8" i="4"/>
  <c r="E10" i="4" s="1"/>
  <c r="E7" i="6"/>
  <c r="E14" i="6" s="1"/>
  <c r="J16" i="15" s="1"/>
  <c r="L7" i="4"/>
  <c r="L12" i="4" s="1"/>
  <c r="J8" i="15"/>
  <c r="F22" i="3"/>
  <c r="R11" i="4"/>
  <c r="Z44" i="6"/>
  <c r="AU19" i="16" s="1"/>
  <c r="AU18" i="16"/>
  <c r="AP13" i="17"/>
  <c r="AP14" i="17"/>
  <c r="AC6" i="3"/>
  <c r="W30" i="6"/>
  <c r="X13" i="3"/>
  <c r="X15" i="3"/>
  <c r="AC15" i="3" s="1"/>
  <c r="P13" i="17"/>
  <c r="P14" i="17"/>
  <c r="AH30" i="6"/>
  <c r="AH32" i="6" s="1"/>
  <c r="AD32" i="6"/>
  <c r="AU14" i="17"/>
  <c r="AU13" i="17"/>
  <c r="AS14" i="15"/>
  <c r="AS8" i="15"/>
  <c r="L10" i="4"/>
  <c r="V11" i="15" s="1"/>
  <c r="C6" i="3"/>
  <c r="C15" i="3" s="1"/>
  <c r="H15" i="3" s="1"/>
  <c r="H7" i="3"/>
  <c r="H6" i="3" s="1"/>
  <c r="L24" i="14" l="1"/>
  <c r="W29" i="15" s="1"/>
  <c r="W28" i="15"/>
  <c r="Q18" i="4"/>
  <c r="AE11" i="15" s="1"/>
  <c r="X25" i="6"/>
  <c r="AQ16" i="15" s="1"/>
  <c r="AQ19" i="15" s="1"/>
  <c r="AP16" i="15"/>
  <c r="AP19" i="15" s="1"/>
  <c r="D24" i="14"/>
  <c r="I29" i="15" s="1"/>
  <c r="I28" i="15"/>
  <c r="BC20" i="16"/>
  <c r="K11" i="4"/>
  <c r="T12" i="15"/>
  <c r="AF7" i="6"/>
  <c r="BD10" i="15"/>
  <c r="AF44" i="6"/>
  <c r="BE19" i="16" s="1"/>
  <c r="BE18" i="16"/>
  <c r="BE20" i="16" s="1"/>
  <c r="AP11" i="15"/>
  <c r="X11" i="4"/>
  <c r="AE20" i="16"/>
  <c r="AK8" i="15"/>
  <c r="U7" i="14"/>
  <c r="R19" i="4"/>
  <c r="AG12" i="15"/>
  <c r="U23" i="14"/>
  <c r="P24" i="14"/>
  <c r="AC29" i="15" s="1"/>
  <c r="AC28" i="15"/>
  <c r="AE12" i="4"/>
  <c r="AE10" i="4"/>
  <c r="BB11" i="15" s="1"/>
  <c r="S11" i="15"/>
  <c r="J19" i="4"/>
  <c r="BG13" i="17"/>
  <c r="BG14" i="17"/>
  <c r="AD12" i="15"/>
  <c r="Q11" i="4"/>
  <c r="AD43" i="6"/>
  <c r="AD33" i="6"/>
  <c r="AZ19" i="16" s="1"/>
  <c r="AZ18" i="16"/>
  <c r="O31" i="3"/>
  <c r="Z8" i="15" s="1"/>
  <c r="P15" i="4"/>
  <c r="I16" i="4"/>
  <c r="Q8" i="15"/>
  <c r="J22" i="3"/>
  <c r="K24" i="14"/>
  <c r="U29" i="15" s="1"/>
  <c r="U28" i="15"/>
  <c r="C22" i="3"/>
  <c r="B16" i="4"/>
  <c r="H31" i="3"/>
  <c r="N8" i="15" s="1"/>
  <c r="E8" i="15"/>
  <c r="I15" i="4"/>
  <c r="U12" i="14"/>
  <c r="AH7" i="14"/>
  <c r="R19" i="15"/>
  <c r="AD19" i="15"/>
  <c r="D35" i="6"/>
  <c r="D43" i="6" s="1"/>
  <c r="D25" i="6"/>
  <c r="I16" i="15" s="1"/>
  <c r="U19" i="15" s="1"/>
  <c r="Q19" i="4"/>
  <c r="AE12" i="15"/>
  <c r="AH33" i="6"/>
  <c r="BG19" i="16" s="1"/>
  <c r="AH43" i="6"/>
  <c r="BG18" i="16"/>
  <c r="AL14" i="17"/>
  <c r="AL13" i="17"/>
  <c r="S14" i="6"/>
  <c r="U7" i="6"/>
  <c r="AF20" i="4"/>
  <c r="AF18" i="4"/>
  <c r="BE11" i="15" s="1"/>
  <c r="S19" i="15"/>
  <c r="AE19" i="15"/>
  <c r="Y13" i="17"/>
  <c r="Y14" i="17"/>
  <c r="Q24" i="14"/>
  <c r="AE29" i="15" s="1"/>
  <c r="AE28" i="15"/>
  <c r="AO11" i="15"/>
  <c r="W19" i="4"/>
  <c r="E16" i="6"/>
  <c r="E9" i="8"/>
  <c r="E22" i="8" s="1"/>
  <c r="K26" i="15" s="1"/>
  <c r="E12" i="14"/>
  <c r="E23" i="14" s="1"/>
  <c r="AW14" i="17"/>
  <c r="AW13" i="17"/>
  <c r="Z12" i="4"/>
  <c r="AB7" i="4"/>
  <c r="AB12" i="4" s="1"/>
  <c r="BC13" i="17"/>
  <c r="BC14" i="17"/>
  <c r="Z19" i="4"/>
  <c r="AB30" i="6"/>
  <c r="W32" i="6"/>
  <c r="AQ13" i="17"/>
  <c r="AQ14" i="17"/>
  <c r="N30" i="6"/>
  <c r="I32" i="6"/>
  <c r="S10" i="4"/>
  <c r="U8" i="4"/>
  <c r="X44" i="6"/>
  <c r="AQ19" i="16" s="1"/>
  <c r="AQ18" i="16"/>
  <c r="AQ20" i="16" s="1"/>
  <c r="J11" i="15"/>
  <c r="E11" i="4"/>
  <c r="X19" i="4"/>
  <c r="AQ12" i="15"/>
  <c r="L11" i="4"/>
  <c r="V12" i="15"/>
  <c r="P7" i="4"/>
  <c r="O13" i="3"/>
  <c r="I7" i="6"/>
  <c r="I7" i="14"/>
  <c r="I8" i="4"/>
  <c r="P8" i="15"/>
  <c r="S33" i="6"/>
  <c r="AH19" i="16" s="1"/>
  <c r="S43" i="6"/>
  <c r="AH18" i="16"/>
  <c r="U32" i="6"/>
  <c r="S19" i="4"/>
  <c r="AI12" i="15"/>
  <c r="BH12" i="17"/>
  <c r="AH62" i="6"/>
  <c r="Q14" i="17"/>
  <c r="Q13" i="17"/>
  <c r="AE25" i="6"/>
  <c r="BC16" i="15" s="1"/>
  <c r="BC19" i="15" s="1"/>
  <c r="BB16" i="15"/>
  <c r="BB19" i="15" s="1"/>
  <c r="AD19" i="4"/>
  <c r="BA12" i="15"/>
  <c r="C44" i="6"/>
  <c r="G19" i="16" s="1"/>
  <c r="G18" i="16"/>
  <c r="S20" i="16" s="1"/>
  <c r="BE13" i="17"/>
  <c r="BE14" i="17"/>
  <c r="J24" i="14"/>
  <c r="S29" i="15" s="1"/>
  <c r="S28" i="15"/>
  <c r="B30" i="6"/>
  <c r="C13" i="3"/>
  <c r="AC13" i="3"/>
  <c r="AB7" i="14" s="1"/>
  <c r="AD7" i="4"/>
  <c r="W7" i="14"/>
  <c r="W8" i="4"/>
  <c r="AN8" i="15"/>
  <c r="W7" i="6"/>
  <c r="X22" i="3"/>
  <c r="AB19" i="4"/>
  <c r="AX12" i="15"/>
  <c r="U22" i="8"/>
  <c r="AL26" i="15" s="1"/>
  <c r="AC26" i="15"/>
  <c r="W11" i="15"/>
  <c r="L19" i="4"/>
  <c r="BA14" i="17"/>
  <c r="BA13" i="17"/>
  <c r="Z12" i="17"/>
  <c r="N62" i="6"/>
  <c r="AH15" i="4"/>
  <c r="N7" i="6" l="1"/>
  <c r="I14" i="6"/>
  <c r="AW12" i="15"/>
  <c r="AD44" i="6"/>
  <c r="BA19" i="16" s="1"/>
  <c r="BA18" i="16"/>
  <c r="B18" i="4"/>
  <c r="G16" i="4"/>
  <c r="G18" i="4" s="1"/>
  <c r="AF14" i="6"/>
  <c r="AH7" i="6"/>
  <c r="AH14" i="6" s="1"/>
  <c r="P10" i="4"/>
  <c r="AB11" i="15" s="1"/>
  <c r="U7" i="4"/>
  <c r="U12" i="4" s="1"/>
  <c r="P12" i="4"/>
  <c r="I43" i="6"/>
  <c r="N32" i="6"/>
  <c r="P18" i="16"/>
  <c r="I33" i="6"/>
  <c r="P19" i="16" s="1"/>
  <c r="B12" i="14"/>
  <c r="B9" i="8"/>
  <c r="B16" i="6"/>
  <c r="H22" i="3"/>
  <c r="W9" i="8"/>
  <c r="W12" i="14"/>
  <c r="AC22" i="3"/>
  <c r="E24" i="14"/>
  <c r="K29" i="15" s="1"/>
  <c r="K28" i="15"/>
  <c r="AF19" i="4"/>
  <c r="BE12" i="15"/>
  <c r="AH20" i="4"/>
  <c r="AH18" i="4"/>
  <c r="BH11" i="15" s="1"/>
  <c r="AB7" i="6"/>
  <c r="W14" i="6"/>
  <c r="U33" i="6"/>
  <c r="AK19" i="16" s="1"/>
  <c r="AK18" i="16"/>
  <c r="O22" i="3"/>
  <c r="I12" i="14"/>
  <c r="I9" i="8"/>
  <c r="AT12" i="15"/>
  <c r="Z11" i="4"/>
  <c r="AH20" i="16"/>
  <c r="AT20" i="16"/>
  <c r="W33" i="6"/>
  <c r="AN19" i="16" s="1"/>
  <c r="AB32" i="6"/>
  <c r="AN18" i="16"/>
  <c r="AN20" i="16" s="1"/>
  <c r="W43" i="6"/>
  <c r="E25" i="6"/>
  <c r="K16" i="15" s="1"/>
  <c r="W19" i="15" s="1"/>
  <c r="E35" i="6"/>
  <c r="E43" i="6" s="1"/>
  <c r="AH16" i="15"/>
  <c r="S25" i="6"/>
  <c r="U14" i="6"/>
  <c r="AK16" i="15" s="1"/>
  <c r="Z13" i="17"/>
  <c r="Z14" i="17"/>
  <c r="W10" i="4"/>
  <c r="AB8" i="4"/>
  <c r="AB10" i="4" s="1"/>
  <c r="AW11" i="15" s="1"/>
  <c r="S44" i="6"/>
  <c r="AI19" i="16" s="1"/>
  <c r="AI18" i="16"/>
  <c r="U43" i="6"/>
  <c r="N16" i="4"/>
  <c r="I18" i="4"/>
  <c r="Q11" i="15" s="1"/>
  <c r="AH11" i="15"/>
  <c r="S11" i="4"/>
  <c r="BH14" i="17"/>
  <c r="BH13" i="17"/>
  <c r="P20" i="4"/>
  <c r="U15" i="4"/>
  <c r="P18" i="4"/>
  <c r="AC11" i="15" s="1"/>
  <c r="AE11" i="4"/>
  <c r="BB12" i="15"/>
  <c r="N7" i="14"/>
  <c r="Y8" i="15"/>
  <c r="BG20" i="16"/>
  <c r="B32" i="6"/>
  <c r="G30" i="6"/>
  <c r="D44" i="6"/>
  <c r="I19" i="16" s="1"/>
  <c r="I18" i="16"/>
  <c r="U20" i="16" s="1"/>
  <c r="AH7" i="4"/>
  <c r="AD12" i="4"/>
  <c r="AZ12" i="15" s="1"/>
  <c r="AD10" i="4"/>
  <c r="AZ11" i="15" s="1"/>
  <c r="N8" i="4"/>
  <c r="I10" i="4"/>
  <c r="P11" i="15" s="1"/>
  <c r="AH44" i="6"/>
  <c r="BH19" i="16" s="1"/>
  <c r="BH18" i="16"/>
  <c r="N15" i="4"/>
  <c r="N20" i="4" s="1"/>
  <c r="I20" i="4"/>
  <c r="B7" i="14"/>
  <c r="H13" i="3"/>
  <c r="B8" i="4"/>
  <c r="B7" i="6"/>
  <c r="D8" i="15"/>
  <c r="I7" i="4"/>
  <c r="U24" i="14"/>
  <c r="AL29" i="15" s="1"/>
  <c r="AL28" i="15"/>
  <c r="N7" i="4" l="1"/>
  <c r="N12" i="4" s="1"/>
  <c r="I12" i="4"/>
  <c r="B35" i="6"/>
  <c r="G35" i="6" s="1"/>
  <c r="G16" i="6"/>
  <c r="B22" i="8"/>
  <c r="G9" i="8"/>
  <c r="E11" i="15"/>
  <c r="B19" i="4"/>
  <c r="N18" i="4"/>
  <c r="Z11" i="15" s="1"/>
  <c r="AI20" i="16"/>
  <c r="AU20" i="16"/>
  <c r="N10" i="4"/>
  <c r="Y11" i="15" s="1"/>
  <c r="AB43" i="6"/>
  <c r="AW18" i="16"/>
  <c r="AW20" i="16" s="1"/>
  <c r="AB33" i="6"/>
  <c r="AW19" i="16" s="1"/>
  <c r="AB14" i="6"/>
  <c r="W25" i="6"/>
  <c r="AO16" i="15" s="1"/>
  <c r="AN16" i="15"/>
  <c r="N11" i="15"/>
  <c r="G19" i="4"/>
  <c r="B14" i="6"/>
  <c r="G7" i="6"/>
  <c r="U20" i="4"/>
  <c r="U18" i="4"/>
  <c r="AL11" i="15" s="1"/>
  <c r="AN11" i="15"/>
  <c r="W11" i="4"/>
  <c r="G12" i="14"/>
  <c r="G23" i="14" s="1"/>
  <c r="B23" i="14"/>
  <c r="E44" i="6"/>
  <c r="K19" i="16" s="1"/>
  <c r="K18" i="16"/>
  <c r="W20" i="16" s="1"/>
  <c r="AK12" i="15"/>
  <c r="AB12" i="14"/>
  <c r="AB23" i="14" s="1"/>
  <c r="W23" i="14"/>
  <c r="B10" i="4"/>
  <c r="G8" i="4"/>
  <c r="G10" i="4" s="1"/>
  <c r="AH19" i="4"/>
  <c r="BH12" i="15"/>
  <c r="G7" i="14"/>
  <c r="M8" i="15"/>
  <c r="AB20" i="16"/>
  <c r="N19" i="4"/>
  <c r="Z12" i="15"/>
  <c r="AO18" i="16"/>
  <c r="AO20" i="16" s="1"/>
  <c r="W44" i="6"/>
  <c r="AO19" i="16" s="1"/>
  <c r="W22" i="8"/>
  <c r="AO26" i="15" s="1"/>
  <c r="AB9" i="8"/>
  <c r="AB22" i="8" s="1"/>
  <c r="AX26" i="15" s="1"/>
  <c r="AF25" i="6"/>
  <c r="BE16" i="15" s="1"/>
  <c r="BE19" i="15" s="1"/>
  <c r="BD16" i="15"/>
  <c r="BD19" i="15" s="1"/>
  <c r="P19" i="4"/>
  <c r="AC12" i="15"/>
  <c r="AK19" i="15"/>
  <c r="Y18" i="16"/>
  <c r="AK20" i="16" s="1"/>
  <c r="N33" i="6"/>
  <c r="Y19" i="16" s="1"/>
  <c r="AB11" i="4"/>
  <c r="N12" i="14"/>
  <c r="N23" i="14" s="1"/>
  <c r="I23" i="14"/>
  <c r="U44" i="6"/>
  <c r="AL19" i="16" s="1"/>
  <c r="AL18" i="16"/>
  <c r="BG16" i="15"/>
  <c r="AH25" i="6"/>
  <c r="BH16" i="15" s="1"/>
  <c r="BH19" i="15" s="1"/>
  <c r="AH12" i="4"/>
  <c r="AH10" i="4"/>
  <c r="BG11" i="15" s="1"/>
  <c r="AZ20" i="16"/>
  <c r="AI16" i="15"/>
  <c r="U25" i="6"/>
  <c r="AL16" i="15" s="1"/>
  <c r="U10" i="4"/>
  <c r="AK11" i="15" s="1"/>
  <c r="I44" i="6"/>
  <c r="Q19" i="16" s="1"/>
  <c r="Q18" i="16"/>
  <c r="N43" i="6"/>
  <c r="N14" i="6"/>
  <c r="Y16" i="15" s="1"/>
  <c r="I25" i="6"/>
  <c r="P16" i="15"/>
  <c r="I19" i="4"/>
  <c r="Q12" i="15"/>
  <c r="B33" i="6"/>
  <c r="D19" i="16" s="1"/>
  <c r="D18" i="16"/>
  <c r="P20" i="16" s="1"/>
  <c r="G32" i="6"/>
  <c r="B43" i="6"/>
  <c r="AH19" i="15"/>
  <c r="AT19" i="15"/>
  <c r="I22" i="8"/>
  <c r="N9" i="8"/>
  <c r="P11" i="4"/>
  <c r="AB12" i="15"/>
  <c r="G14" i="6" l="1"/>
  <c r="M16" i="15" s="1"/>
  <c r="D16" i="15"/>
  <c r="AN19" i="15"/>
  <c r="AZ19" i="15"/>
  <c r="N24" i="14"/>
  <c r="Z29" i="15" s="1"/>
  <c r="Z28" i="15"/>
  <c r="U11" i="4"/>
  <c r="BA20" i="16"/>
  <c r="AO19" i="15"/>
  <c r="BA19" i="15"/>
  <c r="G22" i="8"/>
  <c r="N26" i="15" s="1"/>
  <c r="E26" i="15"/>
  <c r="I24" i="14"/>
  <c r="Q29" i="15" s="1"/>
  <c r="Q28" i="15"/>
  <c r="AB19" i="15"/>
  <c r="P19" i="15"/>
  <c r="B24" i="14"/>
  <c r="E29" i="15" s="1"/>
  <c r="E28" i="15"/>
  <c r="AW16" i="15"/>
  <c r="AW19" i="15" s="1"/>
  <c r="AB25" i="6"/>
  <c r="AX16" i="15" s="1"/>
  <c r="AX19" i="15" s="1"/>
  <c r="B25" i="6"/>
  <c r="G43" i="6"/>
  <c r="E18" i="16"/>
  <c r="Q20" i="16" s="1"/>
  <c r="B44" i="6"/>
  <c r="E19" i="16" s="1"/>
  <c r="G24" i="14"/>
  <c r="N29" i="15" s="1"/>
  <c r="N28" i="15"/>
  <c r="AL12" i="15"/>
  <c r="U19" i="4"/>
  <c r="AI19" i="15"/>
  <c r="AU19" i="15"/>
  <c r="BG19" i="15"/>
  <c r="N22" i="8"/>
  <c r="Z26" i="15" s="1"/>
  <c r="Q26" i="15"/>
  <c r="AB24" i="14"/>
  <c r="AX29" i="15" s="1"/>
  <c r="AX28" i="15"/>
  <c r="AH11" i="4"/>
  <c r="BG12" i="15"/>
  <c r="M11" i="15"/>
  <c r="G11" i="4"/>
  <c r="AB44" i="6"/>
  <c r="AX19" i="16" s="1"/>
  <c r="AX18" i="16"/>
  <c r="AX20" i="16" s="1"/>
  <c r="I11" i="4"/>
  <c r="P12" i="15"/>
  <c r="W24" i="14"/>
  <c r="AO29" i="15" s="1"/>
  <c r="AO28" i="15"/>
  <c r="M18" i="16"/>
  <c r="Y20" i="16" s="1"/>
  <c r="G33" i="6"/>
  <c r="M19" i="16" s="1"/>
  <c r="N25" i="6"/>
  <c r="Z16" i="15" s="1"/>
  <c r="AL19" i="15" s="1"/>
  <c r="Q16" i="15"/>
  <c r="Y19" i="15"/>
  <c r="N44" i="6"/>
  <c r="Z19" i="16" s="1"/>
  <c r="Z18" i="16"/>
  <c r="AL20" i="16" s="1"/>
  <c r="AC20" i="16"/>
  <c r="BH20" i="16"/>
  <c r="D11" i="15"/>
  <c r="B11" i="4"/>
  <c r="N11" i="4"/>
  <c r="Y12" i="15"/>
  <c r="E16" i="15" l="1"/>
  <c r="G25" i="6"/>
  <c r="N16" i="15" s="1"/>
  <c r="N18" i="16"/>
  <c r="Z20" i="16" s="1"/>
  <c r="G44" i="6"/>
  <c r="N19" i="16" s="1"/>
  <c r="Q19" i="15"/>
  <c r="AC19" i="15"/>
  <c r="Z19" i="15"/>
</calcChain>
</file>

<file path=xl/sharedStrings.xml><?xml version="1.0" encoding="utf-8"?>
<sst xmlns="http://schemas.openxmlformats.org/spreadsheetml/2006/main" count="971" uniqueCount="345">
  <si>
    <t>Table of Contents</t>
  </si>
  <si>
    <t>Tabs</t>
  </si>
  <si>
    <t>Summary P&amp;L</t>
  </si>
  <si>
    <t>Recurring Summary</t>
  </si>
  <si>
    <t>Nonrecurring Summary</t>
  </si>
  <si>
    <t>Constant Currency</t>
  </si>
  <si>
    <t xml:space="preserve">Gross Profit </t>
  </si>
  <si>
    <t>Operating Expenses</t>
  </si>
  <si>
    <t>Operating Margins</t>
  </si>
  <si>
    <t>EBITDA Margins</t>
  </si>
  <si>
    <t>Other Expense, Tax &amp; NI</t>
  </si>
  <si>
    <t>EPS &amp; DSO</t>
  </si>
  <si>
    <t>Debt</t>
  </si>
  <si>
    <t>Divestiture Revenue</t>
  </si>
  <si>
    <t>Revenue Metrics Reconciliation</t>
  </si>
  <si>
    <t>SaaS Revenue Reconciliation</t>
  </si>
  <si>
    <t>Footnotes</t>
  </si>
  <si>
    <t>Supplemental Information About Non-GAAP Financial Measures</t>
  </si>
  <si>
    <t xml:space="preserve">    </t>
  </si>
  <si>
    <t xml:space="preserve">Three Months Ended </t>
  </si>
  <si>
    <t xml:space="preserve">Year Ended </t>
  </si>
  <si>
    <t>Three Months Ended</t>
  </si>
  <si>
    <t>Year Ended</t>
  </si>
  <si>
    <t>4/30/2023</t>
  </si>
  <si>
    <t>($ in millions)</t>
  </si>
  <si>
    <t>Operating Metric</t>
  </si>
  <si>
    <t>SaaS ARR</t>
  </si>
  <si>
    <t>SaaS ARR Growth YoY</t>
  </si>
  <si>
    <t>GAAP to Non-GAAP Reconciliation</t>
  </si>
  <si>
    <t xml:space="preserve"> </t>
  </si>
  <si>
    <t>GAAP</t>
  </si>
  <si>
    <t>Non-GAAP</t>
  </si>
  <si>
    <t xml:space="preserve">Revenue Metrics </t>
  </si>
  <si>
    <t>Recurring Revenue</t>
  </si>
  <si>
    <t>Revenue Metrics Reconciliation Tab</t>
  </si>
  <si>
    <t>Nonrecurring Revenue</t>
  </si>
  <si>
    <t>Total Revenue</t>
  </si>
  <si>
    <t>Reported Revenue Growth</t>
  </si>
  <si>
    <t>Constant Currency tab</t>
  </si>
  <si>
    <t>Constant Currency Revenue Growth</t>
  </si>
  <si>
    <t>Recurring Revenue Mix</t>
  </si>
  <si>
    <t>% of Software Revenue that is Recurring Revenue</t>
  </si>
  <si>
    <t>Gross Profit Metrics</t>
  </si>
  <si>
    <t>Gross Profit</t>
  </si>
  <si>
    <t>Gross Profit tab</t>
  </si>
  <si>
    <t xml:space="preserve">   Gross Margin %</t>
  </si>
  <si>
    <t>Gross Profit Growth YoY</t>
  </si>
  <si>
    <t>Operating Expense 
Metrics</t>
  </si>
  <si>
    <t>Research and Development, net</t>
  </si>
  <si>
    <t>Operating Expenses tab</t>
  </si>
  <si>
    <t xml:space="preserve">   % of Revenue</t>
  </si>
  <si>
    <t xml:space="preserve">Selling, General and Administrative </t>
  </si>
  <si>
    <t>Profitability 
Metrics</t>
  </si>
  <si>
    <t>Operating (Loss) Income</t>
  </si>
  <si>
    <t>Operating &amp; EBITDA Margins tab</t>
  </si>
  <si>
    <t xml:space="preserve">   Operating Margin %</t>
  </si>
  <si>
    <t xml:space="preserve">Adjusted EBITDA </t>
  </si>
  <si>
    <t xml:space="preserve">   Adjusted EBITDA Margin</t>
  </si>
  <si>
    <t>Diluted EPS</t>
  </si>
  <si>
    <t>EPS &amp; DSO tab</t>
  </si>
  <si>
    <t xml:space="preserve">           Note: FYE21 diluted EPS includes Verint’s former Cyber Intelligence Solutions business. We completed the previously announced spin-off of former Cyber Intelligence Solutions business on February 1, 2021. All other FYE21 metrics are comparable to future periods shown.</t>
  </si>
  <si>
    <t xml:space="preserve">   SaaS</t>
  </si>
  <si>
    <t>SaaS Revenue Reconciliation Tab</t>
  </si>
  <si>
    <t xml:space="preserve">      SaaS Bundled</t>
  </si>
  <si>
    <t xml:space="preserve">      SaaS Unbundled </t>
  </si>
  <si>
    <t xml:space="preserve">   Support </t>
  </si>
  <si>
    <t xml:space="preserve">   Optional Managed Services</t>
  </si>
  <si>
    <t>Recurring Revenue Growth YoY</t>
  </si>
  <si>
    <t>Constant Currency Recurring Revenue Growth YoY</t>
  </si>
  <si>
    <t>SaaS Revenue Growth YoY</t>
  </si>
  <si>
    <t>Constant Currency SaaS Revenue Growth YoY</t>
  </si>
  <si>
    <t>Recurring Gross Profit</t>
  </si>
  <si>
    <t>Recurring Gross Margin %</t>
  </si>
  <si>
    <t>Recurring Gross Profit Growth YoY</t>
  </si>
  <si>
    <t xml:space="preserve">   Perpetual</t>
  </si>
  <si>
    <t xml:space="preserve">   Professional Services and other</t>
  </si>
  <si>
    <t>Nonrecurring Revenue Growth YoY</t>
  </si>
  <si>
    <t>Nonrecurring Gross Profit</t>
  </si>
  <si>
    <t>Nonrecurring Gross Margin %</t>
  </si>
  <si>
    <t>Nonrecurring Gross Profit Growth YoY</t>
  </si>
  <si>
    <t>4/30/2020</t>
  </si>
  <si>
    <t>7/31/2020</t>
  </si>
  <si>
    <t>10/31/2020</t>
  </si>
  <si>
    <t>1/31/2021</t>
  </si>
  <si>
    <t>4/30/2021</t>
  </si>
  <si>
    <t>7/31/2021</t>
  </si>
  <si>
    <t>10/31/2021</t>
  </si>
  <si>
    <t>1/31/2022</t>
  </si>
  <si>
    <t>4/30/2022</t>
  </si>
  <si>
    <t>7/31/2022</t>
  </si>
  <si>
    <t>10/31/2022</t>
  </si>
  <si>
    <t>1/31/2023</t>
  </si>
  <si>
    <t>7/31/2023</t>
  </si>
  <si>
    <t>10/31/2023</t>
  </si>
  <si>
    <t>1/31/2024</t>
  </si>
  <si>
    <t>4/30/2024</t>
  </si>
  <si>
    <t>Revenue for the three months ended prior period</t>
  </si>
  <si>
    <t>Revenue for the three months ended current period</t>
  </si>
  <si>
    <t>Revenue for the three months ended current period at constant currency (1)</t>
  </si>
  <si>
    <t>Reported period-over-period revenue growth</t>
  </si>
  <si>
    <t>% impact from change in foreign currency exchange rates</t>
  </si>
  <si>
    <t>Constant currency period-over-period revenue growth</t>
  </si>
  <si>
    <t>Gross Profit and Gross Margin</t>
  </si>
  <si>
    <t>Total GAAP revenue</t>
  </si>
  <si>
    <t>Recurring costs</t>
  </si>
  <si>
    <t>Nonrecurring costs</t>
  </si>
  <si>
    <t>Amortization of acquired technology</t>
  </si>
  <si>
    <t>Total GAAP cost of revenue</t>
  </si>
  <si>
    <t>GAAP gross profit</t>
  </si>
  <si>
    <t xml:space="preserve">    GAAP gross margin</t>
  </si>
  <si>
    <t>Revenue adjustments</t>
  </si>
  <si>
    <t>Stock-based compensation expenses</t>
  </si>
  <si>
    <t>Acquisition and divestitures expenses (benefit), net</t>
  </si>
  <si>
    <t>Restructuring expenses</t>
  </si>
  <si>
    <t>Separation expenses (2)</t>
  </si>
  <si>
    <t>Impairment charges</t>
  </si>
  <si>
    <t>Discontinued operations corporate overhead adjustment</t>
  </si>
  <si>
    <t>Allocation methodology difference</t>
  </si>
  <si>
    <t>Non-GAAP gross profit</t>
  </si>
  <si>
    <t xml:space="preserve">    Non-GAAP gross margin</t>
  </si>
  <si>
    <t>Recurring Gross Profit and Gross Margin</t>
  </si>
  <si>
    <t>GAAP recurring revenue</t>
  </si>
  <si>
    <t>GAAP recurring costs</t>
  </si>
  <si>
    <t>GAAP recurring gross profit</t>
  </si>
  <si>
    <t>GAAP recurring gross margin</t>
  </si>
  <si>
    <t>Recurring revenue adjustments</t>
  </si>
  <si>
    <t>Recurring stock-based compensation expenses</t>
  </si>
  <si>
    <t>Recurring acquisition and divestitures expenses (benefit), net</t>
  </si>
  <si>
    <t>Recurring restructuring expenses</t>
  </si>
  <si>
    <t>Recurring separation expenses (2)</t>
  </si>
  <si>
    <t>Recurring impairment charges</t>
  </si>
  <si>
    <t>Recurring discontinued operations corporate overhead adjustment</t>
  </si>
  <si>
    <t>Recurring allocation methodology difference</t>
  </si>
  <si>
    <t>Non-GAAP recurring gross profit</t>
  </si>
  <si>
    <t>Non-GAAP recurring gross margin</t>
  </si>
  <si>
    <t>Nonrecurring Gross Profit and Gross Margin</t>
  </si>
  <si>
    <t>GAAP nonrecurring revenue</t>
  </si>
  <si>
    <t>GAAP nonrecurring costs</t>
  </si>
  <si>
    <t>GAAP nonrecurring gross profit</t>
  </si>
  <si>
    <t>GAAP nonrecurring gross margin</t>
  </si>
  <si>
    <t>Nonrecurring revenue adjustments</t>
  </si>
  <si>
    <t>Nonrecurring stock-based compensation expenses</t>
  </si>
  <si>
    <t>Nonrecurring acquisition and divestitures expenses (benefit), net</t>
  </si>
  <si>
    <t>Nonrecurring restructuring expenses (benefit)</t>
  </si>
  <si>
    <t>Nonrecurring separation expenses (2)</t>
  </si>
  <si>
    <t>Nonrecurring impairment charges</t>
  </si>
  <si>
    <t>Nonrecurring discontinued operations corporate overhead adjustment</t>
  </si>
  <si>
    <t>Nonrecurring allocation methodology difference</t>
  </si>
  <si>
    <t>Non-GAAP nonrecurring gross profit</t>
  </si>
  <si>
    <t>Non-GAAP nonrecurring gross margin</t>
  </si>
  <si>
    <t>GAAP research and development, net</t>
  </si>
  <si>
    <t xml:space="preserve">     as a % of GAAP revenue</t>
  </si>
  <si>
    <t>Acquisition and divestitures (expenses) benefit, net</t>
  </si>
  <si>
    <t>IT facilities and infrastructure realignment (6)</t>
  </si>
  <si>
    <t xml:space="preserve">Other Adjustments </t>
  </si>
  <si>
    <t>Non-GAAP research and development, net</t>
  </si>
  <si>
    <t xml:space="preserve">     as a % of non-GAAP revenue</t>
  </si>
  <si>
    <t>Selling, General and Administrative expenses</t>
  </si>
  <si>
    <t>GAAP selling, general and administrative expenses</t>
  </si>
  <si>
    <t>Acquisition and divestitures benefit (expenses), net  (7)</t>
  </si>
  <si>
    <t>Accelerated lease costs (5)</t>
  </si>
  <si>
    <t>Non-GAAP selling, general and administrative expenses</t>
  </si>
  <si>
    <t>GAAP operating (loss) income</t>
  </si>
  <si>
    <t xml:space="preserve">   GAAP operating margin</t>
  </si>
  <si>
    <t>Amortization of other acquired intangible assets</t>
  </si>
  <si>
    <t>Acquisition and divestitures (benefit) expenses, net  (7)</t>
  </si>
  <si>
    <t>Other adjustments</t>
  </si>
  <si>
    <t>Non-GAAP operating income</t>
  </si>
  <si>
    <t xml:space="preserve">   Non-GAAP operating margin</t>
  </si>
  <si>
    <t>GAAP net (loss) income from continuing operations</t>
  </si>
  <si>
    <t xml:space="preserve">   As a percentage of GAAP revenue</t>
  </si>
  <si>
    <t>Provision for (benefit from) income taxes</t>
  </si>
  <si>
    <t>Other expense, net</t>
  </si>
  <si>
    <t>Depreciation and amortization (3)</t>
  </si>
  <si>
    <t>Adjusted EBITDA</t>
  </si>
  <si>
    <t xml:space="preserve">   As a percentage of non-GAAP revenue</t>
  </si>
  <si>
    <t>Other Expense, Tax and Net Income</t>
  </si>
  <si>
    <t>Other Expense Reconciliation</t>
  </si>
  <si>
    <t>GAAP other (expense) income, net</t>
  </si>
  <si>
    <t>Unrealized losses on derivatives, net</t>
  </si>
  <si>
    <t>Amortization of convertible note discount</t>
  </si>
  <si>
    <t>Expenses and losses on debt modification or retirement</t>
  </si>
  <si>
    <t>Change in fair value of future tranche right</t>
  </si>
  <si>
    <t>Non-GAAP other (expense) income, net</t>
  </si>
  <si>
    <t>Tax Provision (Benefit) Reconciliation</t>
  </si>
  <si>
    <t>GAAP provision for (benefit from) income taxes</t>
  </si>
  <si>
    <t xml:space="preserve">   GAAP effective income tax rate</t>
  </si>
  <si>
    <t>Non-GAAP provision for income taxes</t>
  </si>
  <si>
    <t xml:space="preserve">   Non-GAAP effective income tax rate</t>
  </si>
  <si>
    <t>Net (Loss) Income from Continuing Operations Attributable to Verint Systems Inc. Common Shares Reconciliation</t>
  </si>
  <si>
    <t>GAAP net (loss) income from continuing operations attributable to Verint Systems Inc. common shares</t>
  </si>
  <si>
    <t>Total GAAP net (loss) income adjustments (4) (7)</t>
  </si>
  <si>
    <t>Non-GAAP net income from continuing operations attributable to Verint Systems Inc.common shares</t>
  </si>
  <si>
    <t>GAAP (Benefit) Provision for income taxes</t>
  </si>
  <si>
    <t>GAAP pre-tax income (Income/loss before provision (benefit) income taxes)</t>
  </si>
  <si>
    <t>GAAP effective income tax rate</t>
  </si>
  <si>
    <t>Non-GAAP pre tax income</t>
  </si>
  <si>
    <t>Non GAAP effective income tax rate</t>
  </si>
  <si>
    <t>EPS and Diluted Shares Outstanding</t>
  </si>
  <si>
    <t>($ in millions, except share and per share data; shares in thousands)</t>
  </si>
  <si>
    <t>GAAP diluted net loss from continuing operations per common share attributable to Verint Systems Inc.</t>
  </si>
  <si>
    <t>Non-GAAP diluted net income from continuing operations per common share attributable to Verint Systems Inc. (4)</t>
  </si>
  <si>
    <t>GAAP weighted-average shares used in computing diluted net loss from continuing operations per common share</t>
  </si>
  <si>
    <t>Additional weighted-average shares applicable to non-GAAP net income from continuing operations per common share attributable to Verint Systems Inc</t>
  </si>
  <si>
    <t>Non-GAAP diluted weighted-average shares used in computing net income from continuing operations per common share (4)</t>
  </si>
  <si>
    <t>Consolidated Debt</t>
  </si>
  <si>
    <t>As of</t>
  </si>
  <si>
    <t>Current maturities of long-term debt</t>
  </si>
  <si>
    <t>Long-term debt</t>
  </si>
  <si>
    <t>Unamortized debt discounts and issuance costs</t>
  </si>
  <si>
    <t>Gross debt</t>
  </si>
  <si>
    <t>Less:</t>
  </si>
  <si>
    <t>Cash and cash equivalents</t>
  </si>
  <si>
    <t>Restricted cash and cash equivalents, and restricted bank time deposits</t>
  </si>
  <si>
    <t>Short-term investments</t>
  </si>
  <si>
    <t>Long-term restricted cash, cash equivalents, bank time deposits and investments</t>
  </si>
  <si>
    <t>Net debt, including long-term restricted cash, cash equivalents, bank time deposits, and investments</t>
  </si>
  <si>
    <t>Revenue from divested offering</t>
  </si>
  <si>
    <t>Total GAAP revenue without divested offering</t>
  </si>
  <si>
    <t>Total non-GAAP revenue</t>
  </si>
  <si>
    <t>Total non-GAAP revenue without divested offering</t>
  </si>
  <si>
    <t>Three Month Ended</t>
  </si>
  <si>
    <t>Recurring revenue- GAAP</t>
  </si>
  <si>
    <t xml:space="preserve">   SaaS revenue - GAAP</t>
  </si>
  <si>
    <t xml:space="preserve">   Optional managed services revenue - GAAP</t>
  </si>
  <si>
    <t xml:space="preserve">   Support revenue -  GAAP </t>
  </si>
  <si>
    <t>Nonrecurring revenue - GAAP</t>
  </si>
  <si>
    <t xml:space="preserve">   Perpetual revenue - GAAP</t>
  </si>
  <si>
    <t xml:space="preserve">   Professional services and other revenue - GAAP</t>
  </si>
  <si>
    <t>Total revenue - GAAP</t>
  </si>
  <si>
    <t>Estimated recurring revenue adjustments</t>
  </si>
  <si>
    <t xml:space="preserve">   Estimated SaaS revenue adjustments</t>
  </si>
  <si>
    <t xml:space="preserve">   Estimated optional managed services revenue adjustments</t>
  </si>
  <si>
    <t xml:space="preserve">   Estimated support revenue adjustments</t>
  </si>
  <si>
    <t>Estimated nonrecurring revenue adjustments</t>
  </si>
  <si>
    <t xml:space="preserve">   Estimated perpetual revenue adjustments</t>
  </si>
  <si>
    <t xml:space="preserve">   Estimated professional services and other revenue adjustments</t>
  </si>
  <si>
    <t>Total estimated revenue adjustments</t>
  </si>
  <si>
    <t>Recurring revenue- non-GAAP</t>
  </si>
  <si>
    <t xml:space="preserve">   SaaS revenue - non-GAAP</t>
  </si>
  <si>
    <t xml:space="preserve">   Optional managed services revenue - non-GAAP</t>
  </si>
  <si>
    <t xml:space="preserve">   Support revenue -  non-GAAP </t>
  </si>
  <si>
    <t>Nonrecurring revenue - non-GAAP</t>
  </si>
  <si>
    <t xml:space="preserve">   Perpetual revenue - non-GAAP</t>
  </si>
  <si>
    <t xml:space="preserve">   Professional services and other revenue - non-GAAP</t>
  </si>
  <si>
    <t>Total revenue - non-GAAP</t>
  </si>
  <si>
    <t xml:space="preserve">     Bundled SaaS revenue - GAAP</t>
  </si>
  <si>
    <t xml:space="preserve">      Unbundled SaaS revenue - GAAP</t>
  </si>
  <si>
    <t>SaaS revenue - GAAP</t>
  </si>
  <si>
    <t xml:space="preserve">      Estimated bundled SaaS revenue adjustments</t>
  </si>
  <si>
    <t xml:space="preserve">      Estimated unbundled SaaS revenue adjustments</t>
  </si>
  <si>
    <t>Estimated SaaS revenue adjustments</t>
  </si>
  <si>
    <t xml:space="preserve">      Bundled SaaS revenue - non-GAAP</t>
  </si>
  <si>
    <t xml:space="preserve">      Unbundled SaaS revenue - non-GAAP</t>
  </si>
  <si>
    <t>SaaS revenue - non-GAAP</t>
  </si>
  <si>
    <t>Note: Amounts may not foot throughout the workbook due to rounding.</t>
  </si>
  <si>
    <t>(1)</t>
  </si>
  <si>
    <t>Revenue for the current period at constant currency is calculated by translating current-period GAAP or non-GAAP foreign currency revenue (as applicable) into U.S. dollars using average foreign currency exchange rates for the same prior period rather than actual current-period foreign currency exchange rates.</t>
  </si>
  <si>
    <t>(2)</t>
  </si>
  <si>
    <t>(3)</t>
  </si>
  <si>
    <t>Represents depreciation and amortization expenses that are adjusted for financing fee amortization.</t>
  </si>
  <si>
    <t>(4)</t>
  </si>
  <si>
    <t>EPS calculation includes the more dilutive of either preferred stock dividends or conversion of preferred stock shares.</t>
  </si>
  <si>
    <t>(5)</t>
  </si>
  <si>
    <t xml:space="preserve">Accelerated lease costs were previously included within Restructuring expenses for the three months ended April 30, 2020, July 31, 2020, October 31, 2020, April 30, 2021, July 31, 2021 and October 31, 2021. </t>
  </si>
  <si>
    <t>(6)</t>
  </si>
  <si>
    <t>IT facilities and infrastructure realignment costs were previously included within Other Adjustments for the three months ended April 30, 2021, July 31, 2021, October 31, 2021, January 31, 2022, April 30, 2022 and July 31, 2022.</t>
  </si>
  <si>
    <t>(7)</t>
  </si>
  <si>
    <t>For the three months and year ended January 31, 2024, acquisition and divestitures (expenses) benefit, net included a loss on the sale of our manual quality managed services business of $9.7 million, which was recorded as part of selling, general, and administrative expenses in our consolidated statement of operations. Today, our platform includes an AI-powered solution for automating the quality process. We expect our customers to adopt AI over time and believe that a people-centric managed services offering is no longer core to our offering.</t>
  </si>
  <si>
    <t>Supplemental Information About Non-GAAP Financial Measures and Operating Metrics</t>
  </si>
  <si>
    <t xml:space="preserve">The following tables include reconciliations of certain financial measures not prepared in accordance with Generally Accepted Accounting Principles (“GAAP”), consisting of non-GAAP revenue, non-GAAP recurring revenue, non-GAAP nonrecurring revenue, non-GAAP perpetual revenue, non-GAAP support revenue, non-GAAP professional services revenue, non-GAAP SaaS revenue, non-GAAP bundled SaaS revenue, non-GAAP unbundled SaaS revenue, non-GAAP optional managed services revenue, non-GAAP revenue from divested manual quality managed services, non-GAAP recurring gross profit and gross margins, non-GAAP nonrecurring gross profit and gross margins, non-GAAP gross profit and gross margins, non-GAAP research and development, net, non-GAAP selling, general and administrative expenses, non-GAAP operating income and operating margins, non-GAAP other income (expense), net, non-GAAP provision for (benefit from) income taxes and non-GAAP effective income tax rate, non-GAAP net income (loss) attributable to Verint Systems Inc. common shares, non-GAAP diluted net income (loss) per common share attributable to Verint Systems Inc., adjusted EBITDA and adjusted EBITDA as a percentage of non-GAAP revenue, net debt and constant currency measures. The tables above include a reconciliation of each non-GAAP financial measure for completed periods presented in this press release to the most directly comparable GAAP financial measure. </t>
  </si>
  <si>
    <t>We believe these non-GAAP financial measures, used in conjunction with the corresponding GAAP measures, provide investors with useful supplemental information about the financial performance of our business by:</t>
  </si>
  <si>
    <t xml:space="preserve">   •facilitating the comparison of our financial results and business trends between periods, by excluding certain items that either can vary significantly in amount and frequency, are based upon subjective assumptions, or in certain cases are unplanned for or difficult to forecast,</t>
  </si>
  <si>
    <t xml:space="preserve">   •facilitating the comparison of our financial results and business trends with other technology companies who publish similar non-GAAP measures, and</t>
  </si>
  <si>
    <t xml:space="preserve">   •allowing investors to see and understand key supplementary metrics used by our management to run our business, including for budgeting and forecasting, resource allocation, and compensation matters.</t>
  </si>
  <si>
    <t>We also make these non-GAAP financial measures available because a number of our investors have informed us that they find this supplemental information useful.</t>
  </si>
  <si>
    <t>Non-GAAP financial measures should not be considered in isolation, as substitutes for, or superior to, comparable GAAP financial measures. The non-GAAP financial measures we present have limitations in that they do not reflect all of the amounts associated with our results of operations as determined in accordance with GAAP, and these non-GAAP financial measures should only be used to evaluate our results of operations in conjunction with the corresponding GAAP financial measures. These non-GAAP financial measures do not represent discretionary cash available to us to invest in the growth of our business, and we may in the future incur expenses similar to or in addition to the adjustments made in these non-GAAP financial measures. Other companies may calculate similar non-GAAP financial measures differently than we do, limiting their usefulness as comparative measures.</t>
  </si>
  <si>
    <t>Our non-GAAP financial measures are calculated by making the following adjustments to our GAAP financial measures:</t>
  </si>
  <si>
    <r>
      <t xml:space="preserve">   •</t>
    </r>
    <r>
      <rPr>
        <b/>
        <i/>
        <sz val="13"/>
        <rFont val="Arial"/>
        <family val="2"/>
      </rPr>
      <t xml:space="preserve">Revenue adjustments. </t>
    </r>
    <r>
      <rPr>
        <sz val="13"/>
        <rFont val="Arial"/>
        <family val="2"/>
      </rPr>
      <t>For acquisitions completed prior to February 1, 2023, we exclude from our non-GAAP revenue the impact of fair value adjustments required under previous GAAP guidance relating to SaaS services, optional managed services and customer support contracts acquired in a business acquisition, which would have otherwise been recognized on a stand-alone basis. Beginning February 1, 2023, we adopted accounting guidance which eliminates the fair value provision that resulted in the accounting adjustment on a prospective basis. We believe that it is useful for investors to understand the total amount of revenue that we and the acquired company would have recognized on a stand-alone basis under GAAP, absent the accounting adjustment associated with the business acquisition under prior accounting guidance. Our non-GAAP revenue also reflects certain adjustments from aligning an acquired company’s revenue recognition policies to our policies. We believe that our non-GAAP revenue measure helps management and investors understand our revenue trends and serves as a useful measure of ongoing business performance.</t>
    </r>
  </si>
  <si>
    <r>
      <t xml:space="preserve">   •</t>
    </r>
    <r>
      <rPr>
        <b/>
        <i/>
        <sz val="13"/>
        <rFont val="Arial"/>
        <family val="2"/>
      </rPr>
      <t>Amortization of acquired technology and other acquired intangible assets</t>
    </r>
    <r>
      <rPr>
        <sz val="13"/>
        <rFont val="Arial"/>
        <family val="2"/>
      </rPr>
      <t>. When we acquire an entity, we are required under GAAP to record the fair values of the intangible assets of the acquired entity and amortize those assets over their useful lives. We exclude the amortization of acquired intangible assets, including acquired technology, from our non-GAAP financial measures because they are inconsistent in amount and frequency and are significantly impacted by the timing and size of acquisitions. We also exclude these amounts to provide easier comparability of pre- and post-acquisition operating results.</t>
    </r>
  </si>
  <si>
    <r>
      <t xml:space="preserve">   •</t>
    </r>
    <r>
      <rPr>
        <b/>
        <i/>
        <sz val="13"/>
        <rFont val="Arial"/>
        <family val="2"/>
      </rPr>
      <t xml:space="preserve">Stock-based compensation expenses. </t>
    </r>
    <r>
      <rPr>
        <sz val="13"/>
        <rFont val="Arial"/>
        <family val="2"/>
      </rPr>
      <t>We exclude stock-based compensation expenses related to restricted stock unit and performance stock unit awards, stock bonus programs, bonus share programs, and other stock-based awards from our non-GAAP financial measures. We evaluate our performance both with and without these measures because stock-based compensation is typically a non-cash expense and can vary significantly over time based on the timing, size and nature of awards granted, and is influenced in part by certain factors which are generally beyond our control, such as the volatility of the price of our common stock. In addition, measurement of stock-based compensation is subject to varying valuation methodologies and subjective assumptions, and therefore we believe that excluding stock-based compensation from our non-GAAP financial measures allows for meaningful comparisons of our current operating results to our historical operating results and to other companies in our industry.</t>
    </r>
  </si>
  <si>
    <r>
      <t xml:space="preserve">   •</t>
    </r>
    <r>
      <rPr>
        <b/>
        <i/>
        <sz val="13"/>
        <rFont val="Arial"/>
        <family val="2"/>
      </rPr>
      <t xml:space="preserve">Unrealized gains and losses on certain derivatives, net.  </t>
    </r>
    <r>
      <rPr>
        <sz val="13"/>
        <rFont val="Arial"/>
        <family val="2"/>
      </rPr>
      <t>We exclude from our non-GAAP financial measures unrealized gains and losses on certain derivatives which are not designated as hedges under accounting guidance. We exclude unrealized gains and losses on foreign currency derivatives that serve as economic hedges against variability in the cash flows of recognized assets or liabilities, or of forecasted transactions. These contracts, if designated as hedges under accounting guidance, would be considered “cash flow” hedges.  These unrealized gains and losses are excluded from our non-GAAP financial measures because they are non-cash transactions which are highly variable from period to period. Upon settlement of these foreign currency derivatives, any realized gain or loss is included in our non-GAAP financial measures.</t>
    </r>
  </si>
  <si>
    <r>
      <t xml:space="preserve">   •</t>
    </r>
    <r>
      <rPr>
        <b/>
        <i/>
        <sz val="13"/>
        <rFont val="Arial"/>
        <family val="2"/>
      </rPr>
      <t xml:space="preserve">Amortization of convertible note discount. </t>
    </r>
    <r>
      <rPr>
        <sz val="13"/>
        <rFont val="Arial"/>
        <family val="2"/>
      </rPr>
      <t>Our non-GAAP financial measures for periods prior to February 1, 2021 exclude the amortization of the imputed discount on our convertible notes. Under GAAP, certain convertible debt instruments that may be settled in cash upon conversion were required to be bifurcated into separate liability (debt) and equity (conversion option) components in a manner that reflected the issuer’s assumed non-convertible debt borrowing rate. For GAAP purposes, we were required to recognize imputed interest expense on the difference between our assumed non-convertible debt borrowing rate and the coupon rate on our 1.50% convertible notes. This difference is excluded from our non-GAAP financial measures because we believe that this expense is based upon subjective assumptions and does not reflect the cash cost of our convertible debt. Effective with the February 1, 2021 adoption of Accounting Standards Update ("ASU") 2020-06, Accounting for Convertible Instruments and Contracts in an Entity’s Own Equity, we no longer record the conversion feature of our convertible senior notes in equity. Instead, we combined the previously separated equity component with the liability component, which together is classified as debt, thereby eliminating the subsequent amortization of the debt discount as interest expense.</t>
    </r>
  </si>
  <si>
    <r>
      <t xml:space="preserve">   • </t>
    </r>
    <r>
      <rPr>
        <b/>
        <i/>
        <sz val="13"/>
        <rFont val="Arial"/>
        <family val="2"/>
      </rPr>
      <t xml:space="preserve">Expenses and losses on debt modification or retirement. </t>
    </r>
    <r>
      <rPr>
        <sz val="13"/>
        <rFont val="Arial"/>
        <family val="2"/>
      </rPr>
      <t>We exclude from our non-GAAP financial measures losses on early retirements of debt attributable to refinancing or repaying our debt, and expenses incurred to modify debt terms, because we believe they are not reflective of our ongoing operations.</t>
    </r>
  </si>
  <si>
    <r>
      <t xml:space="preserve">  • </t>
    </r>
    <r>
      <rPr>
        <b/>
        <i/>
        <sz val="13"/>
        <rFont val="Arial"/>
        <family val="2"/>
      </rPr>
      <t>Change in fair value of future tranche right.</t>
    </r>
    <r>
      <rPr>
        <b/>
        <sz val="13"/>
        <rFont val="Arial"/>
        <family val="2"/>
      </rPr>
      <t xml:space="preserve"> </t>
    </r>
    <r>
      <rPr>
        <sz val="13"/>
        <rFont val="Arial"/>
        <family val="2"/>
      </rPr>
      <t>On December 4, 2019, we entered into an Investment Agreement with an affiliate of Apax Partners (the “Apax Investor”), whereby the Apax Investor agreed to make an investment in us of up to $400.0 million of convertible preferred stock. In connection with the Apax Investor’s first $200.0 million investment on May 7, 2020 (for 200,000 shares of Series A Preferred Stock), we determined that our obligation to issue, and the Apax Investor’s obligation to purchase the Series B Preferred Stock in connection with the completion of the spin-off of our former Cyber Intelligence Solutions business and the satisfaction of other customary closing conditions (the “Future Tranche Right”) met the definition of a freestanding financial instrument. This Future Tranche Right was reported at fair value as an asset or liability on our consolidated balance sheet and was remeasured at fair value each reporting period until the settlement of the right at the time of issuance of the Series B Preferred Stock, which occurred on April 6, 2021. Changes in its fair value were recognized as a non-cash charge or benefit within other income (expense), net on the condensed consolidated statement of operations. We excluded this change in fair value of the Future Tranche Right from our non-GAAP financial measures because it was unusual in nature, could vary significantly in amount, and was unrelated to our ongoing operations.</t>
    </r>
  </si>
  <si>
    <r>
      <t xml:space="preserve">   •</t>
    </r>
    <r>
      <rPr>
        <b/>
        <i/>
        <sz val="13"/>
        <rFont val="Arial"/>
        <family val="2"/>
      </rPr>
      <t xml:space="preserve">Acquisition and divestitures expenses (benefit), net. </t>
    </r>
    <r>
      <rPr>
        <sz val="13"/>
        <rFont val="Arial"/>
        <family val="2"/>
      </rPr>
      <t>In connection with acquisition activity (including with respect to acquisitions that are not consummated), we incur expenses (benefits), including legal, accounting, and other professional fees, integration costs, changes in the fair value of contingent consideration obligations, and other costs. Integration costs may consist of information technology expenses as systems are integrated across the combined entity, consulting expenses, marketing expenses, and professional fees, as well as non-cash charges to write-off or impair the value of redundant assets. In connection with divestiture activity, we exclude the gain or loss on divestiture as well as any expenses incurred, including legal, accounting, and other professional fees. We exclude these expenses from our non-GAAP financial measures because they are unpredictable, can vary based on the size and complexity of each transaction, and are unrelated to our continuing operations or to the continuing operations of the acquired businesses.</t>
    </r>
  </si>
  <si>
    <r>
      <t xml:space="preserve">   •</t>
    </r>
    <r>
      <rPr>
        <b/>
        <i/>
        <sz val="13"/>
        <rFont val="Arial"/>
        <family val="2"/>
      </rPr>
      <t xml:space="preserve">Restructuring expenses (benefit). </t>
    </r>
    <r>
      <rPr>
        <sz val="13"/>
        <rFont val="Arial"/>
        <family val="2"/>
      </rPr>
      <t>We exclude restructuring expenses (benefit) from our non-GAAP financial measures, which include employee termination costs, facility exit costs (except as included in accelerated lease costs and IT facilities and infrastructure realignment described below), certain professional fees, asset impairment charges (except as included in acquisition or IT facilities and infrastructure realignment), and other costs directly associated with resource realignments incurred in reaction to changing strategies or business conditions. All of these costs can vary significantly in amount and frequency based on the nature of the actions as well as the changing needs of our business and we believe that excluding them provides easier comparability of pre- and post-restructuring operating results.</t>
    </r>
  </si>
  <si>
    <r>
      <t xml:space="preserve">   •</t>
    </r>
    <r>
      <rPr>
        <b/>
        <i/>
        <sz val="13"/>
        <rFont val="Arial"/>
        <family val="2"/>
      </rPr>
      <t xml:space="preserve">Accelerated lease costs. </t>
    </r>
    <r>
      <rPr>
        <sz val="13"/>
        <rFont val="Arial"/>
        <family val="2"/>
      </rPr>
      <t>We exclude from our non-GAAP financial measures accelerated facility costs and associated accelerated lease expenses, including losses on terminations, due to the early termination or abandonment of certain office leases as a result of our move to a hybrid work model because these charges are not reflective of our ongoing business and operating results.</t>
    </r>
  </si>
  <si>
    <r>
      <t xml:space="preserve">   •</t>
    </r>
    <r>
      <rPr>
        <b/>
        <i/>
        <sz val="13"/>
        <rFont val="Arial"/>
        <family val="2"/>
      </rPr>
      <t xml:space="preserve">IT facilities and infrastructure realignment. </t>
    </r>
    <r>
      <rPr>
        <sz val="13"/>
        <rFont val="Arial"/>
        <family val="2"/>
      </rPr>
      <t>We exclude from our non-GAAP financial measures nonrecurring IT facilities and infrastructure realignment costs and other IT charges associated with modifying the workplace, including consolidating and/or migrating data centers and labs to the cloud, simplifying the corporate network, and one-time costs for implementing collaboration tools to enable our work from anywhere strategy, as well as asset impairment charges, accelerated depreciation and IT facility exit costs.</t>
    </r>
  </si>
  <si>
    <r>
      <rPr>
        <b/>
        <i/>
        <sz val="13"/>
        <rFont val="Arial"/>
        <family val="2"/>
      </rPr>
      <t xml:space="preserve">   •Discontinued operations corporate overhead adjustment</t>
    </r>
    <r>
      <rPr>
        <i/>
        <sz val="13"/>
        <rFont val="Arial"/>
        <family val="2"/>
      </rPr>
      <t xml:space="preserve">. </t>
    </r>
    <r>
      <rPr>
        <sz val="13"/>
        <rFont val="Arial"/>
        <family val="2"/>
      </rPr>
      <t>These amounts represent general corporate overhead costs related to executive management, finance, legal, information technology, and other shared services functions that were historically allocated to Cognyte, but are not permitted to be included in discontinued operations under GAAP guidelines as they represent indirect expenses of Cognyte.</t>
    </r>
  </si>
  <si>
    <r>
      <t xml:space="preserve">  </t>
    </r>
    <r>
      <rPr>
        <b/>
        <i/>
        <sz val="13"/>
        <rFont val="Arial"/>
        <family val="2"/>
      </rPr>
      <t xml:space="preserve"> •Allocation methodology difference</t>
    </r>
    <r>
      <rPr>
        <i/>
        <sz val="13"/>
        <rFont val="Arial"/>
        <family val="2"/>
      </rPr>
      <t xml:space="preserve">. </t>
    </r>
    <r>
      <rPr>
        <sz val="13"/>
        <rFont val="Arial"/>
        <family val="2"/>
      </rPr>
      <t xml:space="preserve">These amounts are the result of presenting our former Cyber Intelligence Solutions business on a discontinued operations basis for quarters previously reported due to the completion of the spin-off on February 1, 2021. This adjustment represents the difference between the allocation of shared corporate support expenses under GAAP guidelines for reporting discontinued operations compared to management’s previously estimated allocations of those shared corporate support expenses.      </t>
    </r>
    <r>
      <rPr>
        <i/>
        <sz val="13"/>
        <rFont val="Arial"/>
        <family val="2"/>
      </rPr>
      <t xml:space="preserve">    </t>
    </r>
  </si>
  <si>
    <t>Revenue Metrics and Operating Metrics</t>
  </si>
  <si>
    <t>Recurring revenue, on both a GAAP and non-GAAP basis, is the portion of our revenue that we believe is likely to be renewed in the future, and primarily consists of SaaS revenue, optional managed services revenue and initial and renewal post contract support.</t>
  </si>
  <si>
    <t>Nonrecurring revenue, on both a GAAP and non-GAAP basis, primarily consists of our perpetual licenses, consulting, implementation and installation services, hardware, training and patent license royalties.</t>
  </si>
  <si>
    <t xml:space="preserve">SaaS revenue includes bundled SaaS, software with standard managed services and unbundled SaaS (including associated support) that we account for as term licenses where managed services are purchased separately. </t>
  </si>
  <si>
    <t>Optional Managed Services are recurring services that are intended to improve our customers' operations and reduce expenses.</t>
  </si>
  <si>
    <t>Percentage of software revenue that is recurring revenue is calculated as the sum of SaaS revenue, optional managed services revenue and support revenue as a percentage of total SaaS revenue, optional managed services revenue, support revenue, and perpetual revenue.</t>
  </si>
  <si>
    <t>Adjusted EBITDA is a non-GAAP measure defined as net income (loss) before interest expense, interest income, income taxes, depreciation expense, amortization expense, stock-based compensation expenses, revenue adjustments, restructuring expenses, acquisition expenses, separation expenses, accelerated lease costs, IT facilities and infrastructure realignment, and other expenses excluded from our non-GAAP financial measures as described above. We believe that adjusted EBITDA is also commonly used by investors to evaluate operating performance between companies because it helps reduce variability caused by differences in capital structures, income taxes, stock-based compensation expenses, accounting policies, and depreciation and amortization policies. Adjusted EBITDA is also used by credit rating agencies, lenders, and other parties to evaluate our creditworthiness.</t>
  </si>
  <si>
    <t>Net Debt</t>
  </si>
  <si>
    <t>Net Debt is a non-GAAP measure defined as the sum of long-term and short-term debt on our consolidated balance sheet, excluding unamortized discounts and issuance costs, less the sum of cash and cash equivalents, restricted cash, restricted cash equivalents, restricted bank time deposits, and restricted investments (including long-term portions), and short-term investments. We use this non-GAAP financial measure to help evaluate our capital structure, financial leverage, and our ability to reduce debt and to fund investing and financing activities and believe that it provides useful information to investors.</t>
  </si>
  <si>
    <t>Free Cash Flow</t>
  </si>
  <si>
    <t>Free Cash Flow is defined as GAAP cash provided by operating activities less our capital expenditures, which include purchases of property and equipment and capitalized software development costs.</t>
  </si>
  <si>
    <t>Supplemental Information About Constant Currency</t>
  </si>
  <si>
    <t>Because we operate on a global basis and transact business in many currencies, fluctuations in foreign currency exchange rates can affect our consolidated U.S. dollar operating results. To facilitate the assessment of our performance excluding the effect of foreign currency exchange rate fluctuations, we calculate our GAAP and non-GAAP revenue, recurring revenue, and SaaS revenue on both an as-reported basis and a constant currency basis, allowing for comparison of results between periods as if foreign currency exchange rates had remained constant.  We perform our constant currency calculations by translating current-period results into U.S. dollars using prior-period average foreign currency exchange rates or hedge rates, as applicable, rather than current period exchange rates. We believe that constant currency measures, which exclude the impact of changes in foreign currency exchange rates, facilitate the assessment of underlying business trends.
Unless otherwise indicated, our financial outlook, which is provided on a non-GAAP basis, reflects foreign currency exchange rates approximately consistent with rates in effect when the outlook is provided.
We also incur foreign exchange gains and losses resulting from the revaluation and settlement of monetary assets and liabilities that are denominated in currencies other than the entity’s functional currency. Our financial outlook for diluted earnings per share includes net foreign exchange gains or losses incurred to date, if any, but does not include potential future gains or losses.</t>
  </si>
  <si>
    <r>
      <t xml:space="preserve">   •</t>
    </r>
    <r>
      <rPr>
        <b/>
        <i/>
        <sz val="13"/>
        <rFont val="Arial"/>
        <family val="2"/>
      </rPr>
      <t xml:space="preserve">Separation expenses (benefit). </t>
    </r>
    <r>
      <rPr>
        <sz val="13"/>
        <rFont val="Arial"/>
        <family val="2"/>
      </rPr>
      <t xml:space="preserve">On February 1, 2021, we completed the spin-off of our former Cyber Intelligence Solutions business.  We exclude from our non-GAAP financial measures expenses incurred (benefit from) in connection with the spin-off, including third-party advisory, accounting, legal, tax, consulting, and other similar services related to the separation as well as costs associated with the operational separation of the two businesses, including those related to human resources, brand management, real estate, and information technology (which are included in Separation expenses to the extent not capitalized). Separation expenses also include incremental cash income taxes related to the reorganization of legal entities and operations in order to effect the separation and other expense adjustments associated with tax-related indemnification asset as a result of the spin-off. These costs are incremental to our normal operating expenses and are being incurred solely as a result of the separation transaction. Accordingly, we are excluding these separation expenses from our non-GAAP financial measures in order to evaluate our performance on a comparable basis.  Separation expenses incurred through January 31, 2024 are recorded under this category in this document.  Effective February 1, 2024, these expenses are included in Impairment charges and other adjustments, as defined below.
</t>
    </r>
  </si>
  <si>
    <r>
      <t xml:space="preserve">   •</t>
    </r>
    <r>
      <rPr>
        <b/>
        <i/>
        <sz val="13"/>
        <rFont val="Arial"/>
        <family val="2"/>
      </rPr>
      <t>Impairment charges and other</t>
    </r>
    <r>
      <rPr>
        <b/>
        <sz val="13"/>
        <rFont val="Arial"/>
        <family val="2"/>
      </rPr>
      <t xml:space="preserve"> </t>
    </r>
    <r>
      <rPr>
        <b/>
        <i/>
        <sz val="13"/>
        <rFont val="Arial"/>
        <family val="2"/>
      </rPr>
      <t xml:space="preserve">adjustments. </t>
    </r>
    <r>
      <rPr>
        <sz val="13"/>
        <rFont val="Arial"/>
        <family val="2"/>
      </rPr>
      <t>We exclude from our non-GAAP financial measures asset impairment charges (other than those already included within restructuring, acquisition, or IT facilities and realignment activity), rent expense for redundant facilities, gains or losses on sales of property, gains or losses on settlements of certain legal matters, and certain professional fees unrelated to our ongoing operations, all of which are unusual in nature and can vary significantly in amount and frequency.  Effective February 1, 2024, separation expenses excluded from our non-GAAP financial measures are included in this category within this document.  We exclude from our non-GAAP financial measures separation expenses incurred in connection with the spin-off of our former Cyber Intelligence Solutions business, including third-party advisory, accounting, legal, tax, consulting, and other similar services related to the separation as well as costs associated with the operational separation of the two businesses, including those related to human resources, brand management, real estate, and information technology. Separation expenses also include incremental cash income taxes related to the reorganization of legal entities and operations in order to effect the separation and other expense adjustments associated with a tax-related indemnification asset as a result of the spin-off. These costs were incremental to our normal operating expenses and were incurred solely as a result of the separation transaction. Separation expenses (benefit) incurred through January 31, 2024 are included in the Separation expenses (benefit) category of this document, as defined above.</t>
    </r>
  </si>
  <si>
    <t>Separation expenses (benefit) (2)</t>
  </si>
  <si>
    <t>For the quarters ended April 30, 2020, July 31, 2020, October 31, 2020 and January 31, 2021, separation expenses are considered part of discontinued operations and are, therefore, not included in the reported results from continuing operations. Effective February 1, 2024, separation expenses (benefit) are immaterial and therefore included in Other adjustments.</t>
  </si>
  <si>
    <t>Reported Revenue Growth, adjusted for January 31, 2024 quality managed services divestiture</t>
  </si>
  <si>
    <t>7/31/2024</t>
  </si>
  <si>
    <t>Bundled SaaS</t>
  </si>
  <si>
    <t>Unbundled SaaS</t>
  </si>
  <si>
    <t>Non-GAAP income tax adjustments</t>
  </si>
  <si>
    <t xml:space="preserve">   • New Deals ACV, which represents the annual contract value of new bundled SaaS contracts, received within the period.  This includes purchases of new applications by both new and existing customers as well as expansions of entitlements to applications already in use by existing customers, other than if in connection with a conversion. AI booking from new deals represents the portion of New Deals ACV attributable specifically to AI applications. </t>
  </si>
  <si>
    <t xml:space="preserve">   • Conversion ACV, which represents the bundled SaaS annual contract value sold to a customer who is converting from an on-premises application to the Verint Cloud within the period. This metric also includes the value of incremental licenses or expansion of entitlements as part of the conversion, including for AI applications.</t>
  </si>
  <si>
    <t xml:space="preserve">   Bundled SaaS - New Deals ACV</t>
  </si>
  <si>
    <t xml:space="preserve">   Bundled SaaS - Conversion ACV</t>
  </si>
  <si>
    <t xml:space="preserve">   ($ in millions)</t>
  </si>
  <si>
    <t>Nine Month Ended</t>
  </si>
  <si>
    <t>10/31/2024</t>
  </si>
  <si>
    <t>Nine Months Ended</t>
  </si>
  <si>
    <r>
      <t xml:space="preserve">    •</t>
    </r>
    <r>
      <rPr>
        <b/>
        <i/>
        <sz val="13"/>
        <rFont val="Arial"/>
        <family val="2"/>
      </rPr>
      <t>Non-GAAP income tax adjustments</t>
    </r>
    <r>
      <rPr>
        <sz val="13"/>
        <rFont val="Arial"/>
        <family val="2"/>
      </rPr>
      <t>.  We exclude from our non-GAAP measures of net income attributable to Verint Systems Inc., our GAAP provision for (benefit from) income taxes and instead include a non-GAAP provision for income taxes, determined by applying a non-GAAP effective income tax rate to our income before provision for income taxes, as adjusted for the non-GAAP items described above.  The non-GAAP effective income tax rate is generally based upon the income taxes we expect to pay in the reporting year. Our GAAP effective income tax rate can vary significantly from year to year as a result of tax law changes, settlements with tax authorities, changes in the geographic mix of earnings including acquisition activity, changes in the projected realizability of deferred tax assets, and other unusual or period-specific events, all of which can vary in size and frequency. We believe that our non-GAAP effective income tax rate removes much of this variability and facilitates meaningful comparisons of operating results across periods. Our non-GAAP effective income tax rate for the year ending January 31, 2025 is currently approximately 11%, and was 8% for the year ended January 31, 2024, 9% for the year ended January 31, 2023, 11% for the year ended January 31, 2022, 8% for the year ended January 31, 2021. We evaluate our non-GAAP effective income tax rate on an ongoing basis, and it can change from time to time. Our non-GAAP income tax rate can differ materially from our GAAP effective income tax rate.</t>
    </r>
  </si>
  <si>
    <t>SaaS Annual Recurring Revenue (SaaS ARR) represents the annualized quarterly run-rate value of active or signed SaaS contracts as of the end of a period. For unbundled SaaS contracts, the amount included in SaaS ARR is generally consistent with the amount that we invoice the customer annually for the term-based license transaction. In the case of acquired contracts that allow for early termination, SaaS ARR will reflect the annualized amount of committed contracts in the first quarter and then proportionally increase to the remaining amount of annualized ARR in the subsequent three quarters during the first year post acquisition. We use SaaS ARR to identify the annual recurring value of customer contracts at the end of a reporting period and to monitor the growth of our recurring business as we shift to SaaS. SaaS ARR reduces fluctuations due to seasonality, contract term, and the sales mix of subscriptions for bundled SaaS and unbundled SaaS. SaaS ARR should be viewed independently of revenue, and does not represent our revenue under ASC 606 on an annualized basis, as it is an operating metric that is impacted by contract start and end dates and renewal rates. SaaS ARR is not intended to be a replacement for forecasts of SaaS revenue.</t>
  </si>
  <si>
    <r>
      <t xml:space="preserve">10/31/2024 
</t>
    </r>
    <r>
      <rPr>
        <sz val="11"/>
        <color theme="0"/>
        <rFont val="Arial"/>
        <family val="2"/>
      </rPr>
      <t>(8) (9)</t>
    </r>
  </si>
  <si>
    <t>SaaS ACV</t>
  </si>
  <si>
    <t>SaaS ACV Components</t>
  </si>
  <si>
    <t>Cash Generation</t>
  </si>
  <si>
    <t>Cash Contribution Margin</t>
  </si>
  <si>
    <t>Operating Efficiency %</t>
  </si>
  <si>
    <t>Cash Generation Model</t>
  </si>
  <si>
    <t>Cash Generation represents the sum of ARR and perpetual and professional services and other revenue and provides an estimate of the cash-producing potential of our entire business.</t>
  </si>
  <si>
    <t>Cash Contribution Margin is defined as Cash Generation less cost of revenue and operating expenses and helps assess how effectively we convert our revenue streams into cash.</t>
  </si>
  <si>
    <t>Operating Efficiency Percentage is the result of dividing Cash Contribution Margin by Cash Generation and helps assess the rate at which we convert our revenue streams into cash.</t>
  </si>
  <si>
    <t xml:space="preserve">  Perpetual and Professional Services Revenue</t>
  </si>
  <si>
    <t xml:space="preserve">(8)  SaaS ACV from new deals across Bundled SaaS and Unbundled SaaS was $27.2 million, representing an increase of 37% year-over-year. New deals include expansions and new functionality. </t>
  </si>
  <si>
    <t xml:space="preserve">(9)  SaaS ACV from conversion deals in Q3 was minimal, $0.7 million, due to the success of our hybrid cloud model as customers know they can add AI now and convert the rest of their Verint solutions later when they are ready. Conversion deals include like-to-like conversions of existing on premises deployments to the Verint Cloud Platform in Bundled SaaS.  </t>
  </si>
  <si>
    <t xml:space="preserve">SaaS Annual Contract Value (ACV) (formerly known as New SaaS ACV) includes the annualized contract value of all new SaaS contracts received within the period; new unbundled SaaS contracts only include the license portion of those orders. In cases where SaaS is offered to partners through usage-based contracts, we include the incremental value of usage contracts over a rolling four quarters. Orders are only included in  SaaS ACV with a completed customer contract signed by both parties before the end of the period.  Unbundled SaaS ACV includes only the ACV of the unbundled SaaS contracts included in SaaS ACV. Bundled SaaS ACV includes only the ACV of the bundled SaaS contracts included in SaaS ACV and is comprised of two components: </t>
  </si>
  <si>
    <r>
      <t>Subscription ARR Growth YoY</t>
    </r>
    <r>
      <rPr>
        <b/>
        <i/>
        <vertAlign val="superscript"/>
        <sz val="13"/>
        <rFont val="Arial"/>
        <family val="2"/>
      </rPr>
      <t>(10)</t>
    </r>
  </si>
  <si>
    <r>
      <t>Subscription ARR</t>
    </r>
    <r>
      <rPr>
        <b/>
        <vertAlign val="superscript"/>
        <sz val="13"/>
        <rFont val="Arial"/>
        <family val="2"/>
      </rPr>
      <t>(10)</t>
    </r>
  </si>
  <si>
    <t xml:space="preserve">  Less: Cost of Revenue and Operating Expenses</t>
  </si>
  <si>
    <t>Subscription KPIs</t>
  </si>
  <si>
    <t>Note: To be reported annually starting in Q4 FYE25.</t>
  </si>
  <si>
    <t>(10) Adjusted for the quality managed services divestiture, which closed January 31, 2024. SaaS ARR has not been adjusted for the divestiture due to the immaterial nature of the adjustments.</t>
  </si>
  <si>
    <r>
      <t xml:space="preserve">Subscription Annual Recurring Revenue (ARR) represents the annualized quarterly run-rate of our active subscription agreements at the end of the period and is comprised of the ARR calculated for our SaaS, Support, and Optional Managed Services contracts. Under ASC Topic 606, </t>
    </r>
    <r>
      <rPr>
        <i/>
        <sz val="13"/>
        <color rgb="FF000000"/>
        <rFont val="Ariak"/>
      </rPr>
      <t>Revenue from Contracts with Customers,</t>
    </r>
    <r>
      <rPr>
        <sz val="13"/>
        <color rgb="FF000000"/>
        <rFont val="Ariak"/>
      </rPr>
      <t> we are required to recognize a significant portion of our Unbundled SaaS contracts at a point in time when the software is first made available to the customer, or at the beginning of the</t>
    </r>
    <r>
      <rPr>
        <sz val="13"/>
        <color theme="1"/>
        <rFont val="Ariak"/>
      </rPr>
      <t xml:space="preserve"> </t>
    </r>
    <r>
      <rPr>
        <sz val="13"/>
        <color rgb="FF000000"/>
        <rFont val="Ariak"/>
      </rPr>
      <t>subscription term, despite the fact that our contracts typically call for billing these amounts annually or more frequently over the life of the subscription.</t>
    </r>
    <r>
      <rPr>
        <sz val="13"/>
        <color theme="1"/>
        <rFont val="Ariak"/>
      </rPr>
      <t xml:space="preserve"> </t>
    </r>
    <r>
      <rPr>
        <sz val="13"/>
        <color rgb="FF000000"/>
        <rFont val="Ariak"/>
      </rPr>
      <t>This point-in-time recognition of a portion of our recurring revenue creates significant variability in the revenue recognized period to period based on the timing of the subscription start date and the subscription term and can create a significant difference between the timing of our revenue recognition and the actual customer billing under the contract. We use ARR to measure the underlying performance of our subscription-based contracts and mitigate the impact of this variability as ARR reduces fluctuations due to seasonality, contract term, and the sales mix of subscriptions. ARR should be viewed independently of revenue, and does not represent our revenue under ASC 606 on an annualized basis, as it is an operating metric that is impacted by contract start and end dates and renewal rates. ARR is not intended to be a replacement for forecasts of revenue and does not include revenue reported as nonrecurring revenue in our consolidated statement of operations.</t>
    </r>
  </si>
  <si>
    <t xml:space="preserve">  Subscription ARR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</si>
</sst>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44" formatCode="_(&quot;$&quot;* #,##0.00_);_(&quot;$&quot;* \(#,##0.00\);_(&quot;$&quot;* &quot;-&quot;??_);_(@_)"/>
    <numFmt numFmtId="43" formatCode="_(* #,##0.00_);_(* \(#,##0.00\);_(* &quot;-&quot;??_);_(@_)"/>
    <numFmt numFmtId="164" formatCode="&quot;$&quot;#,##0.0_);[Red]\(&quot;$&quot;#,##0.0\)"/>
    <numFmt numFmtId="165" formatCode="0.0%"/>
    <numFmt numFmtId="166" formatCode="_(* #,##0_);_(* \(#,##0\);_(* &quot;-&quot;??_);_(@_)"/>
    <numFmt numFmtId="167" formatCode="_(&quot;$&quot;* #,##0.0_);_(&quot;$&quot;* \(#,##0.0\);_(&quot;$&quot;* &quot;-&quot;??_);_(@_)"/>
    <numFmt numFmtId="168" formatCode="_(* #,##0.0_);_(* \(#,##0.0\);_(* &quot;-&quot;?_);_(@_)"/>
    <numFmt numFmtId="169" formatCode="_(* #,##0.0_);_(* \(#,##0.0\);_(* &quot;-&quot;??_);_(@_)"/>
    <numFmt numFmtId="170" formatCode="_(&quot;$&quot;* #,##0.000_);_(&quot;$&quot;* \(#,##0.000\);_(&quot;$&quot;* &quot;-&quot;??_);_(@_)"/>
    <numFmt numFmtId="171" formatCode="_(* #,##0.0_);_(* \(#,##0.0\);_(* &quot;-&quot;_);_(@_)"/>
    <numFmt numFmtId="172" formatCode="&quot;$&quot;#,##0.0_);\(&quot;$&quot;#,##0.0\)"/>
    <numFmt numFmtId="173" formatCode="_(* #,##0.000_);_(* \(#,##0.000\);_(* &quot;-&quot;?_);_(@_)"/>
    <numFmt numFmtId="174" formatCode="0.000%"/>
    <numFmt numFmtId="175" formatCode="_(&quot;$&quot;* #,##0_);_(&quot;$&quot;* \(#,##0\);_(&quot;$&quot;* &quot;-&quot;??_);_(@_)"/>
    <numFmt numFmtId="176" formatCode="&quot;$&quot;#,##0.000_);[Red]\(&quot;$&quot;#,##0.000\)"/>
  </numFmts>
  <fonts count="55">
    <font>
      <sz val="11"/>
      <color theme="1"/>
      <name val="Calibri"/>
      <family val="2"/>
      <scheme val="minor"/>
    </font>
    <font>
      <sz val="11"/>
      <color theme="1"/>
      <name val="Calibri"/>
      <family val="2"/>
      <scheme val="minor"/>
    </font>
    <font>
      <u/>
      <sz val="11"/>
      <color theme="10"/>
      <name val="Calibri"/>
      <family val="2"/>
      <scheme val="minor"/>
    </font>
    <font>
      <b/>
      <sz val="15"/>
      <color theme="1"/>
      <name val="Arial"/>
      <family val="2"/>
    </font>
    <font>
      <sz val="15"/>
      <color theme="1"/>
      <name val="Calibri"/>
      <family val="2"/>
      <scheme val="minor"/>
    </font>
    <font>
      <b/>
      <u/>
      <sz val="15"/>
      <color theme="1"/>
      <name val="Calibri"/>
      <family val="2"/>
      <scheme val="minor"/>
    </font>
    <font>
      <u/>
      <sz val="15"/>
      <color theme="10"/>
      <name val="Calibri"/>
      <family val="2"/>
      <scheme val="minor"/>
    </font>
    <font>
      <b/>
      <sz val="14"/>
      <color theme="1"/>
      <name val="Arial"/>
      <family val="2"/>
    </font>
    <font>
      <sz val="11"/>
      <color theme="1"/>
      <name val="Arial"/>
      <family val="2"/>
    </font>
    <font>
      <b/>
      <sz val="15"/>
      <color theme="0"/>
      <name val="Arial"/>
      <family val="2"/>
    </font>
    <font>
      <sz val="11"/>
      <color theme="0"/>
      <name val="Arial"/>
      <family val="2"/>
    </font>
    <font>
      <b/>
      <sz val="11"/>
      <color theme="0"/>
      <name val="Arial"/>
      <family val="2"/>
    </font>
    <font>
      <sz val="10.5"/>
      <color theme="0"/>
      <name val="Arial"/>
      <family val="2"/>
    </font>
    <font>
      <b/>
      <sz val="10.5"/>
      <color theme="0"/>
      <name val="Arial"/>
      <family val="2"/>
    </font>
    <font>
      <b/>
      <sz val="10"/>
      <color theme="0"/>
      <name val="Arial"/>
      <family val="2"/>
    </font>
    <font>
      <b/>
      <sz val="12"/>
      <color rgb="FF262A32"/>
      <name val="Arial"/>
      <family val="2"/>
    </font>
    <font>
      <b/>
      <sz val="13"/>
      <name val="Arial"/>
      <family val="2"/>
    </font>
    <font>
      <sz val="13"/>
      <name val="Arial"/>
      <family val="2"/>
    </font>
    <font>
      <sz val="11"/>
      <name val="Arial"/>
      <family val="2"/>
    </font>
    <font>
      <b/>
      <i/>
      <sz val="13"/>
      <name val="Arial"/>
      <family val="2"/>
    </font>
    <font>
      <i/>
      <sz val="11"/>
      <name val="Arial"/>
      <family val="2"/>
    </font>
    <font>
      <i/>
      <sz val="13"/>
      <name val="Arial"/>
      <family val="2"/>
    </font>
    <font>
      <i/>
      <sz val="11"/>
      <color theme="1"/>
      <name val="Arial"/>
      <family val="2"/>
    </font>
    <font>
      <b/>
      <sz val="11"/>
      <color theme="1"/>
      <name val="Arial"/>
      <family val="2"/>
    </font>
    <font>
      <b/>
      <sz val="11"/>
      <name val="Arial"/>
      <family val="2"/>
    </font>
    <font>
      <b/>
      <sz val="13"/>
      <color rgb="FF262A32"/>
      <name val="Arial"/>
      <family val="2"/>
    </font>
    <font>
      <sz val="13"/>
      <color rgb="FF262A32"/>
      <name val="Arial"/>
      <family val="2"/>
    </font>
    <font>
      <b/>
      <i/>
      <sz val="13"/>
      <color rgb="FF262A32"/>
      <name val="Arial"/>
      <family val="2"/>
    </font>
    <font>
      <i/>
      <sz val="13"/>
      <color rgb="FF262A32"/>
      <name val="Arial"/>
      <family val="2"/>
    </font>
    <font>
      <sz val="18"/>
      <name val="Arial"/>
      <family val="2"/>
    </font>
    <font>
      <i/>
      <sz val="18"/>
      <name val="Arial"/>
      <family val="2"/>
    </font>
    <font>
      <sz val="13"/>
      <color theme="1"/>
      <name val="Arial"/>
      <family val="2"/>
    </font>
    <font>
      <sz val="8"/>
      <color theme="1"/>
      <name val="Arial"/>
      <family val="2"/>
    </font>
    <font>
      <sz val="10"/>
      <name val="Arial"/>
      <family val="2"/>
    </font>
    <font>
      <sz val="8"/>
      <name val="Arial"/>
      <family val="2"/>
    </font>
    <font>
      <b/>
      <u/>
      <sz val="8"/>
      <name val="Arial"/>
      <family val="2"/>
    </font>
    <font>
      <b/>
      <sz val="13"/>
      <color theme="1"/>
      <name val="Arial"/>
      <family val="2"/>
    </font>
    <font>
      <i/>
      <sz val="8"/>
      <color theme="1"/>
      <name val="Arial"/>
      <family val="2"/>
    </font>
    <font>
      <b/>
      <u/>
      <sz val="13"/>
      <name val="Arial"/>
      <family val="2"/>
    </font>
    <font>
      <b/>
      <u/>
      <sz val="13"/>
      <color theme="1"/>
      <name val="Arial"/>
      <family val="2"/>
    </font>
    <font>
      <sz val="13"/>
      <color rgb="FF000000"/>
      <name val="Arial"/>
      <family val="2"/>
    </font>
    <font>
      <u/>
      <sz val="13"/>
      <color theme="1"/>
      <name val="Arial"/>
      <family val="2"/>
    </font>
    <font>
      <sz val="10"/>
      <color theme="1"/>
      <name val="Arial"/>
      <family val="2"/>
    </font>
    <font>
      <i/>
      <sz val="10"/>
      <color theme="1"/>
      <name val="Arial"/>
      <family val="2"/>
    </font>
    <font>
      <b/>
      <sz val="14"/>
      <name val="Arial"/>
      <family val="2"/>
    </font>
    <font>
      <b/>
      <i/>
      <sz val="13"/>
      <color rgb="FFFF0000"/>
      <name val="Arial"/>
      <family val="2"/>
    </font>
    <font>
      <sz val="16"/>
      <color rgb="FF040C28"/>
      <name val="Arial"/>
      <family val="2"/>
    </font>
    <font>
      <sz val="13"/>
      <name val="Ariak"/>
    </font>
    <font>
      <i/>
      <sz val="13"/>
      <color rgb="FF000000"/>
      <name val="Ariak"/>
    </font>
    <font>
      <sz val="13"/>
      <color rgb="FF000000"/>
      <name val="Ariak"/>
    </font>
    <font>
      <sz val="13"/>
      <color theme="1"/>
      <name val="Ariak"/>
    </font>
    <font>
      <b/>
      <vertAlign val="superscript"/>
      <sz val="13"/>
      <name val="Arial"/>
      <family val="2"/>
    </font>
    <font>
      <b/>
      <i/>
      <vertAlign val="superscript"/>
      <sz val="13"/>
      <name val="Arial"/>
      <family val="2"/>
    </font>
    <font>
      <sz val="13"/>
      <color rgb="FFFF0000"/>
      <name val="Arial"/>
      <family val="2"/>
    </font>
    <font>
      <b/>
      <sz val="36"/>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auto="1"/>
        <bgColor indexed="64"/>
      </patternFill>
    </fill>
    <fill>
      <patternFill patternType="solid">
        <fgColor rgb="FF0079FF"/>
        <bgColor indexed="64"/>
      </patternFill>
    </fill>
    <fill>
      <patternFill patternType="solid">
        <fgColor indexed="9"/>
        <bgColor indexed="64"/>
      </patternFill>
    </fill>
    <fill>
      <patternFill patternType="solid">
        <fgColor theme="0" tint="-0.249977111117893"/>
        <bgColor indexed="64"/>
      </patternFill>
    </fill>
    <fill>
      <patternFill patternType="solid">
        <fgColor theme="8" tint="0.59999389629810485"/>
        <bgColor indexed="64"/>
      </patternFill>
    </fill>
  </fills>
  <borders count="47">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thin">
        <color indexed="64"/>
      </left>
      <right/>
      <top/>
      <bottom style="thin">
        <color indexed="64"/>
      </bottom>
      <diagonal/>
    </border>
    <border>
      <left style="medium">
        <color rgb="FF000000"/>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thin">
        <color indexed="64"/>
      </bottom>
      <diagonal/>
    </border>
    <border>
      <left style="medium">
        <color rgb="FF000000"/>
      </left>
      <right style="medium">
        <color rgb="FF000000"/>
      </right>
      <top/>
      <bottom style="medium">
        <color rgb="FF000000"/>
      </bottom>
      <diagonal/>
    </border>
    <border>
      <left/>
      <right/>
      <top style="medium">
        <color rgb="FF000000"/>
      </top>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n">
        <color theme="0" tint="-0.34998626667073579"/>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rgb="FF000000"/>
      </right>
      <top/>
      <bottom style="thin">
        <color indexed="64"/>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rgb="FF000000"/>
      </top>
      <bottom style="medium">
        <color rgb="FF000000"/>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rgb="FF000000"/>
      </top>
      <bottom/>
      <diagonal/>
    </border>
    <border>
      <left style="medium">
        <color rgb="FF000000"/>
      </left>
      <right style="medium">
        <color indexed="64"/>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style="medium">
        <color rgb="FF000000"/>
      </top>
      <bottom style="medium">
        <color indexed="64"/>
      </bottom>
      <diagonal/>
    </border>
    <border>
      <left style="medium">
        <color rgb="FF000000"/>
      </left>
      <right style="medium">
        <color rgb="FF000000"/>
      </right>
      <top/>
      <bottom style="medium">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3" fillId="0" borderId="0"/>
    <xf numFmtId="43" fontId="33" fillId="0" borderId="0" applyFont="0" applyFill="0" applyBorder="0" applyAlignment="0" applyProtection="0"/>
    <xf numFmtId="44" fontId="33" fillId="0" borderId="0" applyFont="0" applyFill="0" applyBorder="0" applyAlignment="0" applyProtection="0"/>
    <xf numFmtId="0" fontId="33" fillId="0" borderId="0"/>
  </cellStyleXfs>
  <cellXfs count="356">
    <xf numFmtId="0" fontId="0" fillId="0" borderId="0" xfId="0"/>
    <xf numFmtId="0" fontId="3" fillId="2" borderId="0" xfId="0" applyFont="1" applyFill="1" applyAlignment="1">
      <alignment horizontal="left"/>
    </xf>
    <xf numFmtId="0" fontId="4" fillId="3" borderId="0" xfId="0" applyFont="1" applyFill="1"/>
    <xf numFmtId="0" fontId="5" fillId="3" borderId="0" xfId="0" applyFont="1" applyFill="1"/>
    <xf numFmtId="0" fontId="6" fillId="3" borderId="0" xfId="4" applyFont="1" applyFill="1"/>
    <xf numFmtId="0" fontId="7" fillId="2" borderId="0" xfId="0" applyFont="1" applyFill="1" applyAlignment="1">
      <alignment horizontal="left"/>
    </xf>
    <xf numFmtId="0" fontId="8" fillId="2" borderId="0" xfId="0" applyFont="1" applyFill="1" applyAlignment="1">
      <alignment horizontal="centerContinuous"/>
    </xf>
    <xf numFmtId="0" fontId="8" fillId="2" borderId="0" xfId="0" applyFont="1" applyFill="1"/>
    <xf numFmtId="0" fontId="10" fillId="2" borderId="0" xfId="0" applyFont="1" applyFill="1"/>
    <xf numFmtId="0" fontId="11" fillId="4" borderId="12" xfId="0" applyFont="1" applyFill="1" applyBorder="1" applyAlignment="1">
      <alignment horizontal="center" vertical="center" wrapText="1" readingOrder="1"/>
    </xf>
    <xf numFmtId="0" fontId="11" fillId="4" borderId="13" xfId="0" applyFont="1" applyFill="1" applyBorder="1" applyAlignment="1">
      <alignment horizontal="center" vertical="center" wrapText="1" readingOrder="1"/>
    </xf>
    <xf numFmtId="0" fontId="14" fillId="4" borderId="14" xfId="0" applyFont="1" applyFill="1" applyBorder="1" applyAlignment="1">
      <alignment horizontal="center" vertical="center" wrapText="1" readingOrder="1"/>
    </xf>
    <xf numFmtId="0" fontId="16" fillId="2" borderId="12" xfId="0" applyFont="1" applyFill="1" applyBorder="1" applyAlignment="1">
      <alignment horizontal="left" vertical="center" wrapText="1" readingOrder="1"/>
    </xf>
    <xf numFmtId="164" fontId="17" fillId="2" borderId="12" xfId="0" applyNumberFormat="1" applyFont="1" applyFill="1" applyBorder="1" applyAlignment="1">
      <alignment horizontal="center" vertical="center" wrapText="1" readingOrder="1"/>
    </xf>
    <xf numFmtId="0" fontId="18" fillId="2" borderId="0" xfId="0" applyFont="1" applyFill="1"/>
    <xf numFmtId="0" fontId="17" fillId="2" borderId="15" xfId="0" applyFont="1" applyFill="1" applyBorder="1" applyAlignment="1">
      <alignment horizontal="center" vertical="center" wrapText="1" readingOrder="1"/>
    </xf>
    <xf numFmtId="0" fontId="19" fillId="2" borderId="16" xfId="0" applyFont="1" applyFill="1" applyBorder="1" applyAlignment="1">
      <alignment horizontal="left" vertical="center" wrapText="1" readingOrder="1"/>
    </xf>
    <xf numFmtId="0" fontId="20" fillId="2" borderId="0" xfId="0" applyFont="1" applyFill="1"/>
    <xf numFmtId="165" fontId="21" fillId="2" borderId="12" xfId="3" applyNumberFormat="1" applyFont="1" applyFill="1" applyBorder="1" applyAlignment="1">
      <alignment horizontal="center" vertical="center" wrapText="1" readingOrder="1"/>
    </xf>
    <xf numFmtId="0" fontId="15" fillId="2" borderId="0" xfId="0" applyFont="1" applyFill="1" applyAlignment="1">
      <alignment horizontal="center" vertical="center" textRotation="90" wrapText="1" readingOrder="1"/>
    </xf>
    <xf numFmtId="0" fontId="16" fillId="2" borderId="0" xfId="0" applyFont="1" applyFill="1" applyAlignment="1">
      <alignment horizontal="left" vertical="center" wrapText="1" readingOrder="1"/>
    </xf>
    <xf numFmtId="164" fontId="17" fillId="2" borderId="0" xfId="0" applyNumberFormat="1" applyFont="1" applyFill="1" applyAlignment="1">
      <alignment horizontal="center" vertical="center" wrapText="1" readingOrder="1"/>
    </xf>
    <xf numFmtId="0" fontId="17" fillId="2" borderId="0" xfId="0" applyFont="1" applyFill="1" applyAlignment="1">
      <alignment horizontal="center" vertical="center" wrapText="1" readingOrder="1"/>
    </xf>
    <xf numFmtId="165" fontId="21" fillId="0" borderId="12" xfId="3" applyNumberFormat="1" applyFont="1" applyBorder="1" applyAlignment="1">
      <alignment horizontal="center" vertical="center" wrapText="1" readingOrder="1"/>
    </xf>
    <xf numFmtId="0" fontId="19" fillId="2" borderId="12" xfId="0" applyFont="1" applyFill="1" applyBorder="1" applyAlignment="1">
      <alignment horizontal="left" vertical="center" wrapText="1" readingOrder="1"/>
    </xf>
    <xf numFmtId="164" fontId="21" fillId="2" borderId="12" xfId="0" applyNumberFormat="1" applyFont="1" applyFill="1" applyBorder="1" applyAlignment="1">
      <alignment horizontal="center" vertical="center" wrapText="1" readingOrder="1"/>
    </xf>
    <xf numFmtId="0" fontId="16" fillId="2" borderId="16" xfId="0" applyFont="1" applyFill="1" applyBorder="1" applyAlignment="1">
      <alignment horizontal="left" vertical="center" wrapText="1" readingOrder="1"/>
    </xf>
    <xf numFmtId="0" fontId="22" fillId="2" borderId="0" xfId="0" applyFont="1" applyFill="1"/>
    <xf numFmtId="0" fontId="23" fillId="2" borderId="0" xfId="0" applyFont="1" applyFill="1"/>
    <xf numFmtId="0" fontId="24" fillId="2" borderId="0" xfId="0" applyFont="1" applyFill="1"/>
    <xf numFmtId="164" fontId="26" fillId="2" borderId="12" xfId="0" applyNumberFormat="1" applyFont="1" applyFill="1" applyBorder="1" applyAlignment="1">
      <alignment horizontal="center" vertical="center" wrapText="1" readingOrder="1"/>
    </xf>
    <xf numFmtId="165" fontId="28" fillId="2" borderId="12" xfId="3" applyNumberFormat="1" applyFont="1" applyFill="1" applyBorder="1" applyAlignment="1">
      <alignment horizontal="center" vertical="center" wrapText="1" readingOrder="1"/>
    </xf>
    <xf numFmtId="0" fontId="29" fillId="2" borderId="12" xfId="0" applyFont="1" applyFill="1" applyBorder="1" applyAlignment="1">
      <alignment horizontal="center" vertical="top" wrapText="1"/>
    </xf>
    <xf numFmtId="0" fontId="30" fillId="2" borderId="12" xfId="0" applyFont="1" applyFill="1" applyBorder="1" applyAlignment="1">
      <alignment horizontal="center" vertical="top" wrapText="1"/>
    </xf>
    <xf numFmtId="0" fontId="31" fillId="2" borderId="0" xfId="0" applyFont="1" applyFill="1" applyAlignment="1">
      <alignment wrapText="1"/>
    </xf>
    <xf numFmtId="0" fontId="26" fillId="2" borderId="0" xfId="0" applyFont="1" applyFill="1" applyAlignment="1">
      <alignment horizontal="left" vertical="center" wrapText="1" readingOrder="1"/>
    </xf>
    <xf numFmtId="164" fontId="8" fillId="2" borderId="0" xfId="0" applyNumberFormat="1" applyFont="1" applyFill="1"/>
    <xf numFmtId="0" fontId="32" fillId="2" borderId="0" xfId="0" applyFont="1" applyFill="1"/>
    <xf numFmtId="0" fontId="34" fillId="2" borderId="0" xfId="5" applyFont="1" applyFill="1"/>
    <xf numFmtId="0" fontId="18" fillId="4" borderId="0" xfId="5" applyFont="1" applyFill="1" applyAlignment="1">
      <alignment wrapText="1"/>
    </xf>
    <xf numFmtId="0" fontId="11" fillId="4" borderId="0" xfId="5" applyFont="1" applyFill="1" applyAlignment="1">
      <alignment horizontal="center" wrapText="1"/>
    </xf>
    <xf numFmtId="0" fontId="11" fillId="4" borderId="0" xfId="5" applyFont="1" applyFill="1"/>
    <xf numFmtId="166" fontId="11" fillId="4" borderId="0" xfId="6" quotePrefix="1" applyNumberFormat="1" applyFont="1" applyFill="1" applyAlignment="1">
      <alignment horizontal="center" wrapText="1"/>
    </xf>
    <xf numFmtId="0" fontId="35" fillId="5" borderId="0" xfId="5" applyFont="1" applyFill="1"/>
    <xf numFmtId="0" fontId="16" fillId="5" borderId="0" xfId="5" applyFont="1" applyFill="1"/>
    <xf numFmtId="167" fontId="16" fillId="5" borderId="20" xfId="2" applyNumberFormat="1" applyFont="1" applyFill="1" applyBorder="1"/>
    <xf numFmtId="0" fontId="36" fillId="2" borderId="0" xfId="0" applyFont="1" applyFill="1"/>
    <xf numFmtId="167" fontId="36" fillId="2" borderId="0" xfId="2" applyNumberFormat="1" applyFont="1" applyFill="1"/>
    <xf numFmtId="0" fontId="17" fillId="5" borderId="0" xfId="5" applyFont="1" applyFill="1"/>
    <xf numFmtId="168" fontId="17" fillId="2" borderId="0" xfId="7" applyNumberFormat="1" applyFont="1" applyFill="1"/>
    <xf numFmtId="168" fontId="31" fillId="2" borderId="0" xfId="0" applyNumberFormat="1" applyFont="1" applyFill="1"/>
    <xf numFmtId="0" fontId="31" fillId="2" borderId="0" xfId="0" applyFont="1" applyFill="1"/>
    <xf numFmtId="169" fontId="17" fillId="5" borderId="0" xfId="6" applyNumberFormat="1" applyFont="1" applyFill="1"/>
    <xf numFmtId="168" fontId="16" fillId="5" borderId="20" xfId="6" applyNumberFormat="1" applyFont="1" applyFill="1" applyBorder="1"/>
    <xf numFmtId="168" fontId="36" fillId="2" borderId="0" xfId="0" applyNumberFormat="1" applyFont="1" applyFill="1"/>
    <xf numFmtId="167" fontId="16" fillId="2" borderId="0" xfId="7" applyNumberFormat="1" applyFont="1" applyFill="1"/>
    <xf numFmtId="169" fontId="16" fillId="5" borderId="20" xfId="6" applyNumberFormat="1" applyFont="1" applyFill="1" applyBorder="1"/>
    <xf numFmtId="168" fontId="17" fillId="5" borderId="0" xfId="6" applyNumberFormat="1" applyFont="1" applyFill="1"/>
    <xf numFmtId="0" fontId="17" fillId="2" borderId="0" xfId="5" applyFont="1" applyFill="1"/>
    <xf numFmtId="0" fontId="16" fillId="2" borderId="0" xfId="5" applyFont="1" applyFill="1"/>
    <xf numFmtId="0" fontId="32" fillId="0" borderId="0" xfId="0" applyFont="1"/>
    <xf numFmtId="166" fontId="32" fillId="2" borderId="0" xfId="1" applyNumberFormat="1" applyFont="1" applyFill="1"/>
    <xf numFmtId="0" fontId="37" fillId="2" borderId="0" xfId="0" applyFont="1" applyFill="1"/>
    <xf numFmtId="166" fontId="8" fillId="2" borderId="0" xfId="1" applyNumberFormat="1" applyFont="1" applyFill="1"/>
    <xf numFmtId="0" fontId="39" fillId="2" borderId="0" xfId="0" applyFont="1" applyFill="1"/>
    <xf numFmtId="167" fontId="31" fillId="2" borderId="0" xfId="2" applyNumberFormat="1" applyFont="1" applyFill="1"/>
    <xf numFmtId="166" fontId="31" fillId="2" borderId="0" xfId="1" applyNumberFormat="1" applyFont="1" applyFill="1"/>
    <xf numFmtId="165" fontId="31" fillId="2" borderId="0" xfId="3" applyNumberFormat="1" applyFont="1" applyFill="1" applyAlignment="1">
      <alignment horizontal="right"/>
    </xf>
    <xf numFmtId="165" fontId="31" fillId="2" borderId="21" xfId="3" applyNumberFormat="1" applyFont="1" applyFill="1" applyBorder="1" applyAlignment="1">
      <alignment horizontal="right"/>
    </xf>
    <xf numFmtId="165" fontId="36" fillId="2" borderId="0" xfId="3" applyNumberFormat="1" applyFont="1" applyFill="1" applyAlignment="1">
      <alignment horizontal="right"/>
    </xf>
    <xf numFmtId="0" fontId="38" fillId="5" borderId="0" xfId="5" applyFont="1" applyFill="1"/>
    <xf numFmtId="167" fontId="17" fillId="2" borderId="0" xfId="7" applyNumberFormat="1" applyFont="1" applyFill="1"/>
    <xf numFmtId="169" fontId="16" fillId="5" borderId="0" xfId="6" applyNumberFormat="1" applyFont="1" applyFill="1"/>
    <xf numFmtId="169" fontId="31" fillId="2" borderId="0" xfId="1" applyNumberFormat="1" applyFont="1" applyFill="1"/>
    <xf numFmtId="168" fontId="17" fillId="5" borderId="20" xfId="5" applyNumberFormat="1" applyFont="1" applyFill="1" applyBorder="1"/>
    <xf numFmtId="165" fontId="36" fillId="2" borderId="0" xfId="3" applyNumberFormat="1" applyFont="1" applyFill="1"/>
    <xf numFmtId="169" fontId="31" fillId="2" borderId="0" xfId="1" applyNumberFormat="1" applyFont="1" applyFill="1" applyAlignment="1">
      <alignment horizontal="center"/>
    </xf>
    <xf numFmtId="168" fontId="17" fillId="5" borderId="0" xfId="5" applyNumberFormat="1" applyFont="1" applyFill="1"/>
    <xf numFmtId="168" fontId="17" fillId="2" borderId="0" xfId="5" applyNumberFormat="1" applyFont="1" applyFill="1"/>
    <xf numFmtId="165" fontId="16" fillId="2" borderId="0" xfId="3" applyNumberFormat="1" applyFont="1" applyFill="1"/>
    <xf numFmtId="0" fontId="16" fillId="5" borderId="0" xfId="5" applyFont="1" applyFill="1" applyAlignment="1">
      <alignment wrapText="1"/>
    </xf>
    <xf numFmtId="167" fontId="16" fillId="2" borderId="0" xfId="7" applyNumberFormat="1" applyFont="1" applyFill="1" applyAlignment="1">
      <alignment vertical="top"/>
    </xf>
    <xf numFmtId="0" fontId="31" fillId="2" borderId="0" xfId="0" applyFont="1" applyFill="1" applyAlignment="1">
      <alignment vertical="top"/>
    </xf>
    <xf numFmtId="169" fontId="17" fillId="2" borderId="0" xfId="5" applyNumberFormat="1" applyFont="1" applyFill="1"/>
    <xf numFmtId="170" fontId="16" fillId="2" borderId="0" xfId="7" applyNumberFormat="1" applyFont="1" applyFill="1"/>
    <xf numFmtId="168" fontId="17" fillId="2" borderId="20" xfId="5" applyNumberFormat="1" applyFont="1" applyFill="1" applyBorder="1"/>
    <xf numFmtId="168" fontId="16" fillId="2" borderId="0" xfId="7" applyNumberFormat="1" applyFont="1" applyFill="1"/>
    <xf numFmtId="0" fontId="7" fillId="2" borderId="0" xfId="0" applyFont="1" applyFill="1"/>
    <xf numFmtId="0" fontId="40" fillId="2" borderId="0" xfId="0" applyFont="1" applyFill="1" applyAlignment="1">
      <alignment horizontal="left" vertical="top" wrapText="1" readingOrder="1"/>
    </xf>
    <xf numFmtId="0" fontId="31" fillId="2" borderId="0" xfId="0" applyFont="1" applyFill="1" applyAlignment="1">
      <alignment horizontal="left" vertical="top"/>
    </xf>
    <xf numFmtId="0" fontId="40" fillId="2" borderId="0" xfId="0" applyFont="1" applyFill="1" applyAlignment="1">
      <alignment horizontal="left" vertical="top" readingOrder="1"/>
    </xf>
    <xf numFmtId="0" fontId="40" fillId="2" borderId="0" xfId="0" quotePrefix="1" applyFont="1" applyFill="1" applyAlignment="1">
      <alignment horizontal="left" vertical="top" wrapText="1" readingOrder="1"/>
    </xf>
    <xf numFmtId="0" fontId="41" fillId="2" borderId="0" xfId="0" applyFont="1" applyFill="1"/>
    <xf numFmtId="0" fontId="7" fillId="3" borderId="0" xfId="0" applyFont="1" applyFill="1" applyAlignment="1">
      <alignment horizontal="left"/>
    </xf>
    <xf numFmtId="0" fontId="32" fillId="3" borderId="0" xfId="0" applyFont="1" applyFill="1"/>
    <xf numFmtId="0" fontId="34" fillId="5" borderId="0" xfId="5" applyFont="1" applyFill="1"/>
    <xf numFmtId="169" fontId="17" fillId="5" borderId="0" xfId="5" applyNumberFormat="1" applyFont="1" applyFill="1"/>
    <xf numFmtId="169" fontId="17" fillId="5" borderId="20" xfId="5" applyNumberFormat="1" applyFont="1" applyFill="1" applyBorder="1"/>
    <xf numFmtId="169" fontId="17" fillId="2" borderId="20" xfId="5" applyNumberFormat="1" applyFont="1" applyFill="1" applyBorder="1"/>
    <xf numFmtId="0" fontId="38" fillId="5" borderId="0" xfId="5" applyFont="1" applyFill="1" applyAlignment="1">
      <alignment wrapText="1"/>
    </xf>
    <xf numFmtId="0" fontId="0" fillId="6" borderId="22" xfId="0" applyFill="1" applyBorder="1"/>
    <xf numFmtId="166" fontId="8" fillId="6" borderId="0" xfId="1" applyNumberFormat="1" applyFont="1" applyFill="1"/>
    <xf numFmtId="0" fontId="8" fillId="6" borderId="0" xfId="0" applyFont="1" applyFill="1"/>
    <xf numFmtId="0" fontId="0" fillId="6" borderId="23" xfId="0" applyFill="1" applyBorder="1"/>
    <xf numFmtId="165" fontId="0" fillId="7" borderId="23" xfId="3" applyNumberFormat="1" applyFont="1" applyFill="1" applyBorder="1"/>
    <xf numFmtId="165" fontId="8" fillId="7" borderId="0" xfId="3" applyNumberFormat="1" applyFont="1" applyFill="1"/>
    <xf numFmtId="0" fontId="8" fillId="7" borderId="0" xfId="0" applyFont="1" applyFill="1"/>
    <xf numFmtId="165" fontId="0" fillId="7" borderId="8" xfId="3" applyNumberFormat="1" applyFont="1" applyFill="1" applyBorder="1"/>
    <xf numFmtId="0" fontId="34" fillId="3" borderId="0" xfId="5" applyFont="1" applyFill="1"/>
    <xf numFmtId="15" fontId="11" fillId="4" borderId="0" xfId="5" quotePrefix="1" applyNumberFormat="1" applyFont="1" applyFill="1"/>
    <xf numFmtId="0" fontId="17" fillId="2" borderId="0" xfId="5" applyFont="1" applyFill="1" applyAlignment="1">
      <alignment horizontal="left" vertical="top" wrapText="1"/>
    </xf>
    <xf numFmtId="44" fontId="17" fillId="2" borderId="0" xfId="7" applyFont="1" applyFill="1" applyAlignment="1">
      <alignment horizontal="left" vertical="top"/>
    </xf>
    <xf numFmtId="0" fontId="36" fillId="2" borderId="0" xfId="0" applyFont="1" applyFill="1" applyAlignment="1">
      <alignment wrapText="1"/>
    </xf>
    <xf numFmtId="166" fontId="16" fillId="2" borderId="0" xfId="6" applyNumberFormat="1" applyFont="1" applyFill="1"/>
    <xf numFmtId="0" fontId="17" fillId="5" borderId="0" xfId="5" applyFont="1" applyFill="1" applyAlignment="1">
      <alignment wrapText="1"/>
    </xf>
    <xf numFmtId="166" fontId="17" fillId="5" borderId="20" xfId="5" applyNumberFormat="1" applyFont="1" applyFill="1" applyBorder="1"/>
    <xf numFmtId="0" fontId="42" fillId="2" borderId="0" xfId="0" applyFont="1" applyFill="1"/>
    <xf numFmtId="0" fontId="17" fillId="2" borderId="0" xfId="8" applyFont="1" applyFill="1"/>
    <xf numFmtId="168" fontId="17" fillId="2" borderId="0" xfId="6" applyNumberFormat="1" applyFont="1" applyFill="1"/>
    <xf numFmtId="168" fontId="17" fillId="2" borderId="20" xfId="6" applyNumberFormat="1" applyFont="1" applyFill="1" applyBorder="1"/>
    <xf numFmtId="168" fontId="16" fillId="2" borderId="20" xfId="6" applyNumberFormat="1" applyFont="1" applyFill="1" applyBorder="1"/>
    <xf numFmtId="0" fontId="16" fillId="2" borderId="0" xfId="8" applyFont="1" applyFill="1"/>
    <xf numFmtId="0" fontId="43" fillId="2" borderId="0" xfId="0" applyFont="1" applyFill="1"/>
    <xf numFmtId="43" fontId="43" fillId="2" borderId="0" xfId="1" applyFont="1" applyFill="1"/>
    <xf numFmtId="171" fontId="43" fillId="2" borderId="0" xfId="0" applyNumberFormat="1" applyFont="1" applyFill="1"/>
    <xf numFmtId="168" fontId="17" fillId="5" borderId="20" xfId="6" applyNumberFormat="1" applyFont="1" applyFill="1" applyBorder="1"/>
    <xf numFmtId="169" fontId="17" fillId="5" borderId="0" xfId="6" applyNumberFormat="1" applyFont="1" applyFill="1" applyBorder="1"/>
    <xf numFmtId="167" fontId="16" fillId="5" borderId="0" xfId="2" applyNumberFormat="1" applyFont="1" applyFill="1" applyBorder="1"/>
    <xf numFmtId="167" fontId="16" fillId="2" borderId="0" xfId="7" applyNumberFormat="1" applyFont="1" applyFill="1" applyBorder="1"/>
    <xf numFmtId="165" fontId="16" fillId="5" borderId="0" xfId="3" applyNumberFormat="1" applyFont="1" applyFill="1" applyBorder="1"/>
    <xf numFmtId="0" fontId="11" fillId="2" borderId="0" xfId="5" applyFont="1" applyFill="1"/>
    <xf numFmtId="166" fontId="11" fillId="2" borderId="0" xfId="6" quotePrefix="1" applyNumberFormat="1" applyFont="1" applyFill="1" applyAlignment="1">
      <alignment horizontal="center" wrapText="1"/>
    </xf>
    <xf numFmtId="0" fontId="25" fillId="2" borderId="16" xfId="0" applyFont="1" applyFill="1" applyBorder="1" applyAlignment="1">
      <alignment horizontal="left" vertical="center" wrapText="1" readingOrder="1"/>
    </xf>
    <xf numFmtId="0" fontId="27" fillId="2" borderId="16" xfId="0" applyFont="1" applyFill="1" applyBorder="1" applyAlignment="1">
      <alignment horizontal="left" vertical="center" wrapText="1" readingOrder="1"/>
    </xf>
    <xf numFmtId="0" fontId="17" fillId="2" borderId="24" xfId="0" applyFont="1" applyFill="1" applyBorder="1" applyAlignment="1">
      <alignment horizontal="center" vertical="center" wrapText="1" readingOrder="1"/>
    </xf>
    <xf numFmtId="7" fontId="26" fillId="2" borderId="12" xfId="0" applyNumberFormat="1" applyFont="1" applyFill="1" applyBorder="1" applyAlignment="1">
      <alignment horizontal="center" vertical="center" wrapText="1" readingOrder="1"/>
    </xf>
    <xf numFmtId="167" fontId="16" fillId="2" borderId="0" xfId="2" applyNumberFormat="1" applyFont="1" applyFill="1" applyBorder="1"/>
    <xf numFmtId="169" fontId="17" fillId="2" borderId="0" xfId="6" applyNumberFormat="1" applyFont="1" applyFill="1" applyBorder="1"/>
    <xf numFmtId="0" fontId="11" fillId="2" borderId="0" xfId="5" applyFont="1" applyFill="1" applyAlignment="1">
      <alignment horizontal="center" wrapText="1"/>
    </xf>
    <xf numFmtId="166" fontId="11" fillId="2" borderId="0" xfId="6" quotePrefix="1" applyNumberFormat="1" applyFont="1" applyFill="1" applyBorder="1" applyAlignment="1">
      <alignment horizontal="center" wrapText="1"/>
    </xf>
    <xf numFmtId="168" fontId="17" fillId="2" borderId="0" xfId="7" applyNumberFormat="1" applyFont="1" applyFill="1" applyBorder="1"/>
    <xf numFmtId="168" fontId="16" fillId="2" borderId="0" xfId="6" applyNumberFormat="1" applyFont="1" applyFill="1" applyBorder="1"/>
    <xf numFmtId="168" fontId="17" fillId="2" borderId="0" xfId="6" applyNumberFormat="1" applyFont="1" applyFill="1" applyBorder="1"/>
    <xf numFmtId="169" fontId="16" fillId="2" borderId="0" xfId="6" applyNumberFormat="1" applyFont="1" applyFill="1" applyBorder="1"/>
    <xf numFmtId="168" fontId="16" fillId="2" borderId="0" xfId="7" applyNumberFormat="1" applyFont="1" applyFill="1" applyBorder="1"/>
    <xf numFmtId="166" fontId="32" fillId="2" borderId="0" xfId="1" applyNumberFormat="1" applyFont="1" applyFill="1" applyBorder="1"/>
    <xf numFmtId="167" fontId="31" fillId="2" borderId="0" xfId="2" applyNumberFormat="1" applyFont="1" applyFill="1" applyBorder="1"/>
    <xf numFmtId="165" fontId="31" fillId="2" borderId="0" xfId="3" applyNumberFormat="1" applyFont="1" applyFill="1" applyBorder="1" applyAlignment="1">
      <alignment horizontal="right"/>
    </xf>
    <xf numFmtId="165" fontId="36" fillId="2" borderId="0" xfId="3" applyNumberFormat="1" applyFont="1" applyFill="1" applyBorder="1" applyAlignment="1">
      <alignment horizontal="right"/>
    </xf>
    <xf numFmtId="167" fontId="36" fillId="2" borderId="0" xfId="2" applyNumberFormat="1" applyFont="1" applyFill="1" applyBorder="1"/>
    <xf numFmtId="166" fontId="31" fillId="2" borderId="0" xfId="1" applyNumberFormat="1" applyFont="1" applyFill="1" applyBorder="1"/>
    <xf numFmtId="169" fontId="31" fillId="2" borderId="0" xfId="1" applyNumberFormat="1" applyFont="1" applyFill="1" applyBorder="1"/>
    <xf numFmtId="165" fontId="36" fillId="2" borderId="0" xfId="3" applyNumberFormat="1" applyFont="1" applyFill="1" applyBorder="1"/>
    <xf numFmtId="169" fontId="31" fillId="2" borderId="0" xfId="1" applyNumberFormat="1" applyFont="1" applyFill="1" applyBorder="1" applyAlignment="1">
      <alignment horizontal="center"/>
    </xf>
    <xf numFmtId="165" fontId="16" fillId="2" borderId="0" xfId="3" applyNumberFormat="1" applyFont="1" applyFill="1" applyBorder="1"/>
    <xf numFmtId="167" fontId="16" fillId="2" borderId="0" xfId="7" applyNumberFormat="1" applyFont="1" applyFill="1" applyBorder="1" applyAlignment="1">
      <alignment vertical="top"/>
    </xf>
    <xf numFmtId="170" fontId="16" fillId="2" borderId="0" xfId="7" applyNumberFormat="1" applyFont="1" applyFill="1" applyBorder="1"/>
    <xf numFmtId="166" fontId="8" fillId="2" borderId="0" xfId="1" applyNumberFormat="1" applyFont="1" applyFill="1" applyBorder="1"/>
    <xf numFmtId="165" fontId="8" fillId="2" borderId="0" xfId="3" applyNumberFormat="1" applyFont="1" applyFill="1" applyBorder="1"/>
    <xf numFmtId="44" fontId="17" fillId="2" borderId="0" xfId="7" applyFont="1" applyFill="1" applyBorder="1" applyAlignment="1">
      <alignment horizontal="left" vertical="top"/>
    </xf>
    <xf numFmtId="166" fontId="16" fillId="2" borderId="0" xfId="6" applyNumberFormat="1" applyFont="1" applyFill="1" applyBorder="1"/>
    <xf numFmtId="166" fontId="17" fillId="2" borderId="0" xfId="5" applyNumberFormat="1" applyFont="1" applyFill="1"/>
    <xf numFmtId="165" fontId="21" fillId="2" borderId="0" xfId="3" applyNumberFormat="1" applyFont="1" applyFill="1" applyBorder="1" applyAlignment="1">
      <alignment horizontal="center" vertical="center" wrapText="1" readingOrder="1"/>
    </xf>
    <xf numFmtId="164" fontId="26" fillId="2" borderId="0" xfId="0" applyNumberFormat="1" applyFont="1" applyFill="1" applyAlignment="1">
      <alignment horizontal="center" vertical="center" wrapText="1" readingOrder="1"/>
    </xf>
    <xf numFmtId="165" fontId="28" fillId="2" borderId="0" xfId="3" applyNumberFormat="1" applyFont="1" applyFill="1" applyBorder="1" applyAlignment="1">
      <alignment horizontal="center" vertical="center" wrapText="1" readingOrder="1"/>
    </xf>
    <xf numFmtId="172" fontId="26" fillId="2" borderId="0" xfId="0" applyNumberFormat="1" applyFont="1" applyFill="1" applyAlignment="1">
      <alignment horizontal="center" vertical="center" wrapText="1" readingOrder="1"/>
    </xf>
    <xf numFmtId="7" fontId="26" fillId="2" borderId="0" xfId="0" applyNumberFormat="1" applyFont="1" applyFill="1" applyAlignment="1">
      <alignment horizontal="center" vertical="center" wrapText="1" readingOrder="1"/>
    </xf>
    <xf numFmtId="0" fontId="11" fillId="2" borderId="0" xfId="0" applyFont="1" applyFill="1" applyAlignment="1">
      <alignment horizontal="center" vertical="center" wrapText="1" readingOrder="1"/>
    </xf>
    <xf numFmtId="0" fontId="14" fillId="2" borderId="0" xfId="0" applyFont="1" applyFill="1" applyAlignment="1">
      <alignment horizontal="center" vertical="center" wrapText="1" readingOrder="1"/>
    </xf>
    <xf numFmtId="14" fontId="11" fillId="2" borderId="0" xfId="0" applyNumberFormat="1" applyFont="1" applyFill="1" applyAlignment="1">
      <alignment horizontal="center" vertical="center" wrapText="1" readingOrder="1"/>
    </xf>
    <xf numFmtId="0" fontId="11" fillId="4" borderId="26" xfId="0" applyFont="1" applyFill="1" applyBorder="1" applyAlignment="1">
      <alignment horizontal="center" vertical="center" wrapText="1" readingOrder="1"/>
    </xf>
    <xf numFmtId="164" fontId="17" fillId="2" borderId="27" xfId="0" applyNumberFormat="1" applyFont="1" applyFill="1" applyBorder="1" applyAlignment="1">
      <alignment horizontal="center" vertical="center" wrapText="1" readingOrder="1"/>
    </xf>
    <xf numFmtId="164" fontId="17" fillId="2" borderId="28" xfId="0" applyNumberFormat="1" applyFont="1" applyFill="1" applyBorder="1" applyAlignment="1">
      <alignment horizontal="center" vertical="center" wrapText="1" readingOrder="1"/>
    </xf>
    <xf numFmtId="165" fontId="21" fillId="2" borderId="27" xfId="3" applyNumberFormat="1" applyFont="1" applyFill="1" applyBorder="1" applyAlignment="1">
      <alignment horizontal="center" vertical="center" wrapText="1" readingOrder="1"/>
    </xf>
    <xf numFmtId="165" fontId="21" fillId="2" borderId="28" xfId="3" applyNumberFormat="1" applyFont="1" applyFill="1" applyBorder="1" applyAlignment="1">
      <alignment horizontal="center" vertical="center" wrapText="1" readingOrder="1"/>
    </xf>
    <xf numFmtId="165" fontId="21" fillId="2" borderId="29" xfId="3" applyNumberFormat="1" applyFont="1" applyFill="1" applyBorder="1" applyAlignment="1">
      <alignment horizontal="center" vertical="center" wrapText="1" readingOrder="1"/>
    </xf>
    <xf numFmtId="165" fontId="21" fillId="2" borderId="30" xfId="3" applyNumberFormat="1" applyFont="1" applyFill="1" applyBorder="1" applyAlignment="1">
      <alignment horizontal="center" vertical="center" wrapText="1" readingOrder="1"/>
    </xf>
    <xf numFmtId="165" fontId="21" fillId="2" borderId="31" xfId="3" applyNumberFormat="1" applyFont="1" applyFill="1" applyBorder="1" applyAlignment="1">
      <alignment horizontal="center" vertical="center" wrapText="1" readingOrder="1"/>
    </xf>
    <xf numFmtId="165" fontId="21" fillId="0" borderId="29" xfId="3" applyNumberFormat="1" applyFont="1" applyBorder="1" applyAlignment="1">
      <alignment horizontal="center" vertical="center" wrapText="1" readingOrder="1"/>
    </xf>
    <xf numFmtId="165" fontId="21" fillId="0" borderId="30" xfId="3" applyNumberFormat="1" applyFont="1" applyBorder="1" applyAlignment="1">
      <alignment horizontal="center" vertical="center" wrapText="1" readingOrder="1"/>
    </xf>
    <xf numFmtId="164" fontId="17" fillId="2" borderId="32" xfId="0" applyNumberFormat="1" applyFont="1" applyFill="1" applyBorder="1" applyAlignment="1">
      <alignment horizontal="center" vertical="center" wrapText="1" readingOrder="1"/>
    </xf>
    <xf numFmtId="164" fontId="17" fillId="2" borderId="33" xfId="0" applyNumberFormat="1" applyFont="1" applyFill="1" applyBorder="1" applyAlignment="1">
      <alignment horizontal="center" vertical="center" wrapText="1" readingOrder="1"/>
    </xf>
    <xf numFmtId="164" fontId="17" fillId="2" borderId="34" xfId="0" applyNumberFormat="1" applyFont="1" applyFill="1" applyBorder="1" applyAlignment="1">
      <alignment horizontal="center" vertical="center" wrapText="1" readingOrder="1"/>
    </xf>
    <xf numFmtId="164" fontId="21" fillId="2" borderId="27" xfId="0" applyNumberFormat="1" applyFont="1" applyFill="1" applyBorder="1" applyAlignment="1">
      <alignment horizontal="center" vertical="center" wrapText="1" readingOrder="1"/>
    </xf>
    <xf numFmtId="164" fontId="26" fillId="2" borderId="32" xfId="0" applyNumberFormat="1" applyFont="1" applyFill="1" applyBorder="1" applyAlignment="1">
      <alignment horizontal="center" vertical="center" wrapText="1" readingOrder="1"/>
    </xf>
    <xf numFmtId="164" fontId="26" fillId="2" borderId="33" xfId="0" applyNumberFormat="1" applyFont="1" applyFill="1" applyBorder="1" applyAlignment="1">
      <alignment horizontal="center" vertical="center" wrapText="1" readingOrder="1"/>
    </xf>
    <xf numFmtId="164" fontId="26" fillId="2" borderId="34" xfId="0" applyNumberFormat="1" applyFont="1" applyFill="1" applyBorder="1" applyAlignment="1">
      <alignment horizontal="center" vertical="center" wrapText="1" readingOrder="1"/>
    </xf>
    <xf numFmtId="165" fontId="28" fillId="2" borderId="27" xfId="3" applyNumberFormat="1" applyFont="1" applyFill="1" applyBorder="1" applyAlignment="1">
      <alignment horizontal="center" vertical="center" wrapText="1" readingOrder="1"/>
    </xf>
    <xf numFmtId="165" fontId="28" fillId="2" borderId="28" xfId="3" applyNumberFormat="1" applyFont="1" applyFill="1" applyBorder="1" applyAlignment="1">
      <alignment horizontal="center" vertical="center" wrapText="1" readingOrder="1"/>
    </xf>
    <xf numFmtId="172" fontId="26" fillId="2" borderId="32" xfId="0" applyNumberFormat="1" applyFont="1" applyFill="1" applyBorder="1" applyAlignment="1">
      <alignment horizontal="center" vertical="center" wrapText="1" readingOrder="1"/>
    </xf>
    <xf numFmtId="172" fontId="26" fillId="2" borderId="33" xfId="0" applyNumberFormat="1" applyFont="1" applyFill="1" applyBorder="1" applyAlignment="1">
      <alignment horizontal="center" vertical="center" wrapText="1" readingOrder="1"/>
    </xf>
    <xf numFmtId="172" fontId="26" fillId="2" borderId="34" xfId="0" applyNumberFormat="1" applyFont="1" applyFill="1" applyBorder="1" applyAlignment="1">
      <alignment horizontal="center" vertical="center" wrapText="1" readingOrder="1"/>
    </xf>
    <xf numFmtId="0" fontId="29" fillId="2" borderId="27" xfId="0" applyFont="1" applyFill="1" applyBorder="1" applyAlignment="1">
      <alignment horizontal="center" vertical="top" wrapText="1"/>
    </xf>
    <xf numFmtId="164" fontId="26" fillId="2" borderId="28" xfId="0" applyNumberFormat="1" applyFont="1" applyFill="1" applyBorder="1" applyAlignment="1">
      <alignment horizontal="center" vertical="center" wrapText="1" readingOrder="1"/>
    </xf>
    <xf numFmtId="0" fontId="30" fillId="2" borderId="27" xfId="0" applyFont="1" applyFill="1" applyBorder="1" applyAlignment="1">
      <alignment horizontal="center" vertical="top" wrapText="1"/>
    </xf>
    <xf numFmtId="7" fontId="26" fillId="2" borderId="29" xfId="0" applyNumberFormat="1" applyFont="1" applyFill="1" applyBorder="1" applyAlignment="1">
      <alignment horizontal="center" vertical="center" wrapText="1" readingOrder="1"/>
    </xf>
    <xf numFmtId="7" fontId="26" fillId="2" borderId="30" xfId="0" applyNumberFormat="1" applyFont="1" applyFill="1" applyBorder="1" applyAlignment="1">
      <alignment horizontal="center" vertical="center" wrapText="1" readingOrder="1"/>
    </xf>
    <xf numFmtId="165" fontId="21" fillId="0" borderId="38" xfId="3" applyNumberFormat="1" applyFont="1" applyBorder="1" applyAlignment="1">
      <alignment horizontal="center" vertical="center" wrapText="1" readingOrder="1"/>
    </xf>
    <xf numFmtId="165" fontId="21" fillId="0" borderId="12" xfId="3" applyNumberFormat="1" applyFont="1" applyFill="1" applyBorder="1" applyAlignment="1">
      <alignment horizontal="center" vertical="center" wrapText="1" readingOrder="1"/>
    </xf>
    <xf numFmtId="165" fontId="21" fillId="0" borderId="30" xfId="3" applyNumberFormat="1" applyFont="1" applyFill="1" applyBorder="1" applyAlignment="1">
      <alignment horizontal="center" vertical="center" wrapText="1" readingOrder="1"/>
    </xf>
    <xf numFmtId="165" fontId="21" fillId="0" borderId="31" xfId="3" applyNumberFormat="1" applyFont="1" applyFill="1" applyBorder="1" applyAlignment="1">
      <alignment horizontal="center" vertical="center" wrapText="1" readingOrder="1"/>
    </xf>
    <xf numFmtId="167" fontId="16" fillId="2" borderId="20" xfId="2" applyNumberFormat="1" applyFont="1" applyFill="1" applyBorder="1"/>
    <xf numFmtId="167" fontId="16" fillId="2" borderId="0" xfId="2" applyNumberFormat="1" applyFont="1" applyFill="1"/>
    <xf numFmtId="173" fontId="31" fillId="2" borderId="0" xfId="0" applyNumberFormat="1" applyFont="1" applyFill="1"/>
    <xf numFmtId="168" fontId="16" fillId="2" borderId="0" xfId="7" applyNumberFormat="1" applyFont="1" applyFill="1" applyBorder="1" applyAlignment="1">
      <alignment vertical="top"/>
    </xf>
    <xf numFmtId="7" fontId="26" fillId="2" borderId="31" xfId="0" applyNumberFormat="1" applyFont="1" applyFill="1" applyBorder="1" applyAlignment="1">
      <alignment horizontal="center" vertical="center" wrapText="1" readingOrder="1"/>
    </xf>
    <xf numFmtId="7" fontId="22" fillId="2" borderId="0" xfId="0" applyNumberFormat="1" applyFont="1" applyFill="1" applyAlignment="1">
      <alignment horizontal="center"/>
    </xf>
    <xf numFmtId="165" fontId="21" fillId="0" borderId="0" xfId="3" applyNumberFormat="1" applyFont="1" applyFill="1" applyBorder="1" applyAlignment="1">
      <alignment horizontal="center" vertical="center" wrapText="1" readingOrder="1"/>
    </xf>
    <xf numFmtId="0" fontId="17" fillId="2" borderId="0" xfId="0" applyFont="1" applyFill="1" applyAlignment="1">
      <alignment horizontal="left" vertical="center" wrapText="1" readingOrder="1"/>
    </xf>
    <xf numFmtId="0" fontId="44" fillId="2" borderId="0" xfId="0" applyFont="1" applyFill="1" applyAlignment="1">
      <alignment wrapText="1"/>
    </xf>
    <xf numFmtId="0" fontId="21" fillId="2" borderId="0" xfId="0" applyFont="1" applyFill="1" applyAlignment="1">
      <alignment vertical="center" wrapText="1"/>
    </xf>
    <xf numFmtId="0" fontId="17" fillId="2" borderId="0" xfId="0" applyFont="1" applyFill="1" applyAlignment="1">
      <alignment wrapText="1"/>
    </xf>
    <xf numFmtId="173" fontId="32" fillId="2" borderId="0" xfId="0" applyNumberFormat="1" applyFont="1" applyFill="1"/>
    <xf numFmtId="0" fontId="17" fillId="2" borderId="0" xfId="0" applyFont="1" applyFill="1" applyAlignment="1">
      <alignment horizontal="left" vertical="top" wrapText="1" readingOrder="1"/>
    </xf>
    <xf numFmtId="173" fontId="17" fillId="2" borderId="0" xfId="5" applyNumberFormat="1" applyFont="1" applyFill="1"/>
    <xf numFmtId="173" fontId="16" fillId="5" borderId="20" xfId="2" applyNumberFormat="1" applyFont="1" applyFill="1" applyBorder="1"/>
    <xf numFmtId="167" fontId="31" fillId="2" borderId="0" xfId="0" applyNumberFormat="1" applyFont="1" applyFill="1"/>
    <xf numFmtId="165" fontId="31" fillId="2" borderId="0" xfId="3" applyNumberFormat="1" applyFont="1" applyFill="1"/>
    <xf numFmtId="165" fontId="32" fillId="2" borderId="0" xfId="3" applyNumberFormat="1" applyFont="1" applyFill="1"/>
    <xf numFmtId="0" fontId="17" fillId="0" borderId="11" xfId="0" applyFont="1" applyBorder="1" applyAlignment="1">
      <alignment horizontal="center" vertical="center" wrapText="1" readingOrder="1"/>
    </xf>
    <xf numFmtId="0" fontId="19" fillId="2" borderId="0" xfId="0" applyFont="1" applyFill="1" applyAlignment="1">
      <alignment horizontal="left" vertical="center" wrapText="1" readingOrder="1"/>
    </xf>
    <xf numFmtId="164" fontId="21" fillId="2" borderId="28" xfId="0" applyNumberFormat="1" applyFont="1" applyFill="1" applyBorder="1" applyAlignment="1">
      <alignment horizontal="center" vertical="center" wrapText="1" readingOrder="1"/>
    </xf>
    <xf numFmtId="164" fontId="21" fillId="2" borderId="0" xfId="0" applyNumberFormat="1" applyFont="1" applyFill="1" applyAlignment="1">
      <alignment horizontal="center" vertical="center" wrapText="1" readingOrder="1"/>
    </xf>
    <xf numFmtId="0" fontId="19" fillId="0" borderId="16" xfId="0" applyFont="1" applyBorder="1" applyAlignment="1">
      <alignment horizontal="left" vertical="center" wrapText="1" readingOrder="1"/>
    </xf>
    <xf numFmtId="164" fontId="21" fillId="2" borderId="40" xfId="0" applyNumberFormat="1" applyFont="1" applyFill="1" applyBorder="1" applyAlignment="1">
      <alignment horizontal="center" vertical="center" wrapText="1" readingOrder="1"/>
    </xf>
    <xf numFmtId="164" fontId="21" fillId="2" borderId="3" xfId="0" applyNumberFormat="1" applyFont="1" applyFill="1" applyBorder="1" applyAlignment="1">
      <alignment horizontal="center" vertical="center" wrapText="1" readingOrder="1"/>
    </xf>
    <xf numFmtId="164" fontId="21" fillId="2" borderId="41" xfId="0" applyNumberFormat="1" applyFont="1" applyFill="1" applyBorder="1" applyAlignment="1">
      <alignment horizontal="center" vertical="center" wrapText="1" readingOrder="1"/>
    </xf>
    <xf numFmtId="164" fontId="21" fillId="2" borderId="42" xfId="0" applyNumberFormat="1" applyFont="1" applyFill="1" applyBorder="1" applyAlignment="1">
      <alignment horizontal="center" vertical="center" wrapText="1" readingOrder="1"/>
    </xf>
    <xf numFmtId="165" fontId="21" fillId="2" borderId="12" xfId="0" applyNumberFormat="1" applyFont="1" applyFill="1" applyBorder="1" applyAlignment="1">
      <alignment horizontal="center" vertical="center" wrapText="1" readingOrder="1"/>
    </xf>
    <xf numFmtId="0" fontId="17" fillId="2" borderId="43" xfId="0" applyFont="1" applyFill="1" applyBorder="1" applyAlignment="1">
      <alignment horizontal="center" vertical="center" wrapText="1" readingOrder="1"/>
    </xf>
    <xf numFmtId="0" fontId="45" fillId="2" borderId="0" xfId="0" applyFont="1" applyFill="1" applyAlignment="1">
      <alignment horizontal="left" vertical="center" wrapText="1" readingOrder="1"/>
    </xf>
    <xf numFmtId="0" fontId="0" fillId="0" borderId="0" xfId="0" applyAlignment="1">
      <alignment horizontal="center" vertical="center" wrapText="1" readingOrder="1"/>
    </xf>
    <xf numFmtId="165" fontId="21" fillId="2" borderId="40" xfId="3" applyNumberFormat="1" applyFont="1" applyFill="1" applyBorder="1" applyAlignment="1">
      <alignment horizontal="center" vertical="center" wrapText="1" readingOrder="1"/>
    </xf>
    <xf numFmtId="164" fontId="18" fillId="2" borderId="0" xfId="0" applyNumberFormat="1" applyFont="1" applyFill="1"/>
    <xf numFmtId="14" fontId="11" fillId="4" borderId="35" xfId="0" applyNumberFormat="1" applyFont="1" applyFill="1" applyBorder="1" applyAlignment="1">
      <alignment horizontal="center" vertical="center" wrapText="1" readingOrder="1"/>
    </xf>
    <xf numFmtId="0" fontId="10" fillId="2" borderId="0" xfId="0" applyFont="1" applyFill="1" applyAlignment="1">
      <alignment horizontal="center"/>
    </xf>
    <xf numFmtId="0" fontId="0" fillId="0" borderId="0" xfId="0" applyAlignment="1">
      <alignment horizontal="center"/>
    </xf>
    <xf numFmtId="0" fontId="11" fillId="4" borderId="24" xfId="0" applyFont="1" applyFill="1" applyBorder="1" applyAlignment="1">
      <alignment horizontal="center" vertical="center" wrapText="1" readingOrder="1"/>
    </xf>
    <xf numFmtId="14" fontId="11" fillId="4" borderId="24" xfId="0" applyNumberFormat="1" applyFont="1" applyFill="1" applyBorder="1" applyAlignment="1">
      <alignment horizontal="center" vertical="center" wrapText="1" readingOrder="1"/>
    </xf>
    <xf numFmtId="14" fontId="11" fillId="4" borderId="44" xfId="0" applyNumberFormat="1" applyFont="1" applyFill="1" applyBorder="1" applyAlignment="1">
      <alignment horizontal="center" vertical="center" wrapText="1" readingOrder="1"/>
    </xf>
    <xf numFmtId="14" fontId="11" fillId="4" borderId="39" xfId="0" applyNumberFormat="1" applyFont="1" applyFill="1" applyBorder="1" applyAlignment="1">
      <alignment horizontal="center" vertical="center" wrapText="1" readingOrder="1"/>
    </xf>
    <xf numFmtId="14" fontId="11" fillId="4" borderId="18" xfId="0" applyNumberFormat="1" applyFont="1" applyFill="1" applyBorder="1" applyAlignment="1">
      <alignment horizontal="center" vertical="center" wrapText="1" readingOrder="1"/>
    </xf>
    <xf numFmtId="0" fontId="14" fillId="4" borderId="45" xfId="0" applyFont="1" applyFill="1" applyBorder="1" applyAlignment="1">
      <alignment horizontal="center" vertical="center" wrapText="1" readingOrder="1"/>
    </xf>
    <xf numFmtId="0" fontId="16" fillId="0" borderId="16" xfId="0" applyFont="1" applyBorder="1" applyAlignment="1">
      <alignment horizontal="left" vertical="center" wrapText="1" readingOrder="1"/>
    </xf>
    <xf numFmtId="165" fontId="18" fillId="2" borderId="0" xfId="3" applyNumberFormat="1" applyFont="1" applyFill="1"/>
    <xf numFmtId="164" fontId="17" fillId="0" borderId="12" xfId="0" quotePrefix="1" applyNumberFormat="1" applyFont="1" applyBorder="1" applyAlignment="1">
      <alignment horizontal="center" vertical="center" wrapText="1" readingOrder="1"/>
    </xf>
    <xf numFmtId="165" fontId="18" fillId="2" borderId="0" xfId="0" applyNumberFormat="1" applyFont="1" applyFill="1"/>
    <xf numFmtId="165" fontId="8" fillId="2" borderId="0" xfId="0" applyNumberFormat="1" applyFont="1" applyFill="1"/>
    <xf numFmtId="171" fontId="16" fillId="5" borderId="0" xfId="2" applyNumberFormat="1" applyFont="1" applyFill="1" applyBorder="1"/>
    <xf numFmtId="167" fontId="17" fillId="5" borderId="0" xfId="2" applyNumberFormat="1" applyFont="1" applyFill="1"/>
    <xf numFmtId="167" fontId="17" fillId="2" borderId="0" xfId="2" applyNumberFormat="1" applyFont="1" applyFill="1"/>
    <xf numFmtId="167" fontId="17" fillId="2" borderId="0" xfId="2" applyNumberFormat="1" applyFont="1" applyFill="1" applyBorder="1"/>
    <xf numFmtId="169" fontId="16" fillId="5" borderId="0" xfId="5" applyNumberFormat="1" applyFont="1" applyFill="1"/>
    <xf numFmtId="169" fontId="16" fillId="5" borderId="0" xfId="2" applyNumberFormat="1" applyFont="1" applyFill="1" applyBorder="1"/>
    <xf numFmtId="169" fontId="16" fillId="2" borderId="0" xfId="7" applyNumberFormat="1" applyFont="1" applyFill="1" applyBorder="1"/>
    <xf numFmtId="169" fontId="36" fillId="2" borderId="0" xfId="0" applyNumberFormat="1" applyFont="1" applyFill="1"/>
    <xf numFmtId="0" fontId="9" fillId="4" borderId="1" xfId="0" applyFont="1" applyFill="1" applyBorder="1" applyAlignment="1">
      <alignment horizontal="left" vertical="center" wrapText="1" readingOrder="1"/>
    </xf>
    <xf numFmtId="0" fontId="13" fillId="4" borderId="6" xfId="0" applyFont="1" applyFill="1" applyBorder="1" applyAlignment="1">
      <alignment horizontal="left" vertical="center" wrapText="1" readingOrder="1"/>
    </xf>
    <xf numFmtId="0" fontId="12" fillId="4" borderId="4" xfId="0" applyFont="1" applyFill="1" applyBorder="1" applyAlignment="1">
      <alignment horizontal="center" vertical="center" wrapText="1" readingOrder="1"/>
    </xf>
    <xf numFmtId="9" fontId="18" fillId="2" borderId="0" xfId="0" applyNumberFormat="1" applyFont="1" applyFill="1"/>
    <xf numFmtId="0" fontId="15" fillId="2" borderId="24" xfId="0" applyFont="1" applyFill="1" applyBorder="1" applyAlignment="1">
      <alignment horizontal="center" vertical="center" textRotation="90" wrapText="1" readingOrder="1"/>
    </xf>
    <xf numFmtId="165" fontId="21" fillId="0" borderId="31" xfId="3" applyNumberFormat="1" applyFont="1" applyBorder="1" applyAlignment="1">
      <alignment horizontal="center" vertical="center" wrapText="1" readingOrder="1"/>
    </xf>
    <xf numFmtId="165" fontId="21" fillId="0" borderId="16" xfId="3" applyNumberFormat="1" applyFont="1" applyBorder="1" applyAlignment="1">
      <alignment horizontal="center" vertical="center" wrapText="1" readingOrder="1"/>
    </xf>
    <xf numFmtId="172" fontId="26" fillId="2" borderId="12" xfId="0" applyNumberFormat="1" applyFont="1" applyFill="1" applyBorder="1" applyAlignment="1">
      <alignment horizontal="center" vertical="center" wrapText="1" readingOrder="1"/>
    </xf>
    <xf numFmtId="174" fontId="18" fillId="2" borderId="0" xfId="0" applyNumberFormat="1" applyFont="1" applyFill="1"/>
    <xf numFmtId="174" fontId="8" fillId="2" borderId="0" xfId="0" applyNumberFormat="1" applyFont="1" applyFill="1"/>
    <xf numFmtId="0" fontId="11" fillId="4" borderId="14" xfId="0" applyFont="1" applyFill="1" applyBorder="1" applyAlignment="1">
      <alignment horizontal="center" vertical="center" wrapText="1" readingOrder="1"/>
    </xf>
    <xf numFmtId="0" fontId="8" fillId="0" borderId="0" xfId="0" applyFont="1"/>
    <xf numFmtId="0" fontId="18" fillId="0" borderId="0" xfId="0" applyFont="1"/>
    <xf numFmtId="10" fontId="16" fillId="2" borderId="0" xfId="3" applyNumberFormat="1" applyFont="1" applyFill="1"/>
    <xf numFmtId="165" fontId="46" fillId="0" borderId="0" xfId="3" applyNumberFormat="1" applyFont="1"/>
    <xf numFmtId="9" fontId="18" fillId="2" borderId="0" xfId="3" applyFont="1" applyFill="1"/>
    <xf numFmtId="9" fontId="8" fillId="2" borderId="0" xfId="3" applyFont="1" applyFill="1"/>
    <xf numFmtId="165" fontId="8" fillId="2" borderId="0" xfId="3" applyNumberFormat="1" applyFont="1" applyFill="1"/>
    <xf numFmtId="175" fontId="17" fillId="2" borderId="0" xfId="5" applyNumberFormat="1" applyFont="1" applyFill="1"/>
    <xf numFmtId="173" fontId="17" fillId="5" borderId="0" xfId="5" applyNumberFormat="1" applyFont="1" applyFill="1"/>
    <xf numFmtId="173" fontId="17" fillId="5" borderId="20" xfId="5" applyNumberFormat="1" applyFont="1" applyFill="1" applyBorder="1"/>
    <xf numFmtId="169" fontId="17" fillId="5" borderId="0" xfId="1" applyNumberFormat="1" applyFont="1" applyFill="1"/>
    <xf numFmtId="169" fontId="17" fillId="2" borderId="0" xfId="1" applyNumberFormat="1" applyFont="1" applyFill="1"/>
    <xf numFmtId="169" fontId="31" fillId="2" borderId="0" xfId="0" applyNumberFormat="1" applyFont="1" applyFill="1"/>
    <xf numFmtId="7" fontId="22" fillId="2" borderId="0" xfId="0" applyNumberFormat="1" applyFont="1" applyFill="1"/>
    <xf numFmtId="164" fontId="17" fillId="0" borderId="12" xfId="0" applyNumberFormat="1" applyFont="1" applyBorder="1" applyAlignment="1">
      <alignment horizontal="center" vertical="center" wrapText="1" readingOrder="1"/>
    </xf>
    <xf numFmtId="0" fontId="17" fillId="0" borderId="0" xfId="0" applyFont="1" applyAlignment="1">
      <alignment horizontal="left" vertical="center" wrapText="1" readingOrder="1"/>
    </xf>
    <xf numFmtId="0" fontId="42" fillId="0" borderId="0" xfId="0" applyFont="1" applyAlignment="1">
      <alignment vertical="center"/>
    </xf>
    <xf numFmtId="0" fontId="17" fillId="2" borderId="17" xfId="0" applyFont="1" applyFill="1" applyBorder="1" applyAlignment="1">
      <alignment horizontal="center" vertical="center" wrapText="1" readingOrder="1"/>
    </xf>
    <xf numFmtId="165" fontId="21" fillId="0" borderId="12" xfId="0" applyNumberFormat="1" applyFont="1" applyBorder="1" applyAlignment="1">
      <alignment horizontal="center" vertical="center" wrapText="1" readingOrder="1"/>
    </xf>
    <xf numFmtId="0" fontId="29" fillId="0" borderId="12" xfId="0" applyFont="1" applyBorder="1" applyAlignment="1">
      <alignment horizontal="center" vertical="top" wrapText="1"/>
    </xf>
    <xf numFmtId="0" fontId="30" fillId="0" borderId="12" xfId="0" applyFont="1" applyBorder="1" applyAlignment="1">
      <alignment horizontal="center" vertical="top" wrapText="1"/>
    </xf>
    <xf numFmtId="0" fontId="16" fillId="0" borderId="0" xfId="5" applyFont="1"/>
    <xf numFmtId="0" fontId="17" fillId="0" borderId="0" xfId="5" applyFont="1"/>
    <xf numFmtId="44" fontId="32" fillId="2" borderId="0" xfId="0" applyNumberFormat="1" applyFont="1" applyFill="1"/>
    <xf numFmtId="164" fontId="17" fillId="2" borderId="12" xfId="0" quotePrefix="1" applyNumberFormat="1" applyFont="1" applyFill="1" applyBorder="1" applyAlignment="1">
      <alignment horizontal="center" vertical="center" wrapText="1" readingOrder="1"/>
    </xf>
    <xf numFmtId="176" fontId="8" fillId="2" borderId="0" xfId="0" applyNumberFormat="1" applyFont="1" applyFill="1"/>
    <xf numFmtId="164" fontId="18" fillId="0" borderId="0" xfId="0" applyNumberFormat="1" applyFont="1"/>
    <xf numFmtId="164" fontId="8" fillId="0" borderId="0" xfId="0" applyNumberFormat="1" applyFont="1"/>
    <xf numFmtId="165" fontId="31" fillId="2" borderId="0" xfId="0" applyNumberFormat="1" applyFont="1" applyFill="1"/>
    <xf numFmtId="10" fontId="31" fillId="2" borderId="0" xfId="3" applyNumberFormat="1" applyFont="1" applyFill="1"/>
    <xf numFmtId="0" fontId="11" fillId="4" borderId="17" xfId="0" applyFont="1" applyFill="1" applyBorder="1" applyAlignment="1">
      <alignment horizontal="center" vertical="center" wrapText="1" readingOrder="1"/>
    </xf>
    <xf numFmtId="14" fontId="11" fillId="4" borderId="19" xfId="0" applyNumberFormat="1" applyFont="1" applyFill="1" applyBorder="1" applyAlignment="1">
      <alignment horizontal="center" vertical="center" wrapText="1" readingOrder="1"/>
    </xf>
    <xf numFmtId="0" fontId="17" fillId="2" borderId="16" xfId="0" applyFont="1" applyFill="1" applyBorder="1" applyAlignment="1">
      <alignment horizontal="left" vertical="center" wrapText="1" readingOrder="1"/>
    </xf>
    <xf numFmtId="167" fontId="17" fillId="2" borderId="12" xfId="2" applyNumberFormat="1" applyFont="1" applyFill="1" applyBorder="1" applyAlignment="1">
      <alignment horizontal="center" vertical="center" wrapText="1" readingOrder="1"/>
    </xf>
    <xf numFmtId="167" fontId="16" fillId="2" borderId="12" xfId="2" applyNumberFormat="1" applyFont="1" applyFill="1" applyBorder="1" applyAlignment="1">
      <alignment horizontal="center" vertical="center" wrapText="1" readingOrder="1"/>
    </xf>
    <xf numFmtId="168" fontId="17" fillId="2" borderId="12" xfId="2" applyNumberFormat="1" applyFont="1" applyFill="1" applyBorder="1" applyAlignment="1">
      <alignment horizontal="center" vertical="center" wrapText="1" readingOrder="1"/>
    </xf>
    <xf numFmtId="165" fontId="16" fillId="2" borderId="12" xfId="3" applyNumberFormat="1" applyFont="1" applyFill="1" applyBorder="1" applyAlignment="1">
      <alignment horizontal="right" vertical="center" wrapText="1" readingOrder="1"/>
    </xf>
    <xf numFmtId="0" fontId="47" fillId="2" borderId="0" xfId="0" applyFont="1" applyFill="1" applyAlignment="1">
      <alignment horizontal="left" vertical="center" wrapText="1" readingOrder="1"/>
    </xf>
    <xf numFmtId="168" fontId="53" fillId="2" borderId="12" xfId="2" applyNumberFormat="1" applyFont="1" applyFill="1" applyBorder="1" applyAlignment="1">
      <alignment horizontal="center" vertical="center" wrapText="1" readingOrder="1"/>
    </xf>
    <xf numFmtId="0" fontId="54" fillId="0" borderId="0" xfId="0" applyFont="1"/>
    <xf numFmtId="0" fontId="11" fillId="4" borderId="35" xfId="0" applyFont="1" applyFill="1" applyBorder="1" applyAlignment="1">
      <alignment horizontal="center" vertical="center" wrapText="1" readingOrder="1"/>
    </xf>
    <xf numFmtId="0" fontId="11" fillId="4" borderId="37" xfId="0" applyFont="1" applyFill="1" applyBorder="1" applyAlignment="1">
      <alignment horizontal="center" vertical="center" wrapText="1" readingOrder="1"/>
    </xf>
    <xf numFmtId="0" fontId="11" fillId="4" borderId="36" xfId="0" applyFont="1" applyFill="1" applyBorder="1" applyAlignment="1">
      <alignment horizontal="center" vertical="center" wrapText="1" readingOrder="1"/>
    </xf>
    <xf numFmtId="0" fontId="26" fillId="2" borderId="3" xfId="0" applyFont="1" applyFill="1" applyBorder="1" applyAlignment="1">
      <alignment horizontal="center" vertical="center" wrapText="1" readingOrder="1"/>
    </xf>
    <xf numFmtId="0" fontId="26" fillId="2" borderId="11" xfId="0" applyFont="1" applyFill="1" applyBorder="1" applyAlignment="1">
      <alignment horizontal="center" vertical="center" wrapText="1" readingOrder="1"/>
    </xf>
    <xf numFmtId="0" fontId="26" fillId="2" borderId="46" xfId="0" applyFont="1" applyFill="1" applyBorder="1" applyAlignment="1">
      <alignment horizontal="center" vertical="center" wrapText="1" readingOrder="1"/>
    </xf>
    <xf numFmtId="0" fontId="15" fillId="2" borderId="3" xfId="0" applyFont="1" applyFill="1" applyBorder="1" applyAlignment="1">
      <alignment horizontal="center" vertical="center" textRotation="90" wrapText="1" readingOrder="1"/>
    </xf>
    <xf numFmtId="0" fontId="15" fillId="2" borderId="11" xfId="0" applyFont="1" applyFill="1" applyBorder="1" applyAlignment="1">
      <alignment horizontal="center" vertical="center" textRotation="90" wrapText="1" readingOrder="1"/>
    </xf>
    <xf numFmtId="0" fontId="0" fillId="0" borderId="11" xfId="0" applyBorder="1"/>
    <xf numFmtId="0" fontId="0" fillId="0" borderId="14" xfId="0" applyBorder="1"/>
    <xf numFmtId="14" fontId="11" fillId="4" borderId="25" xfId="0" applyNumberFormat="1" applyFont="1" applyFill="1" applyBorder="1" applyAlignment="1">
      <alignment horizontal="center" vertical="center" wrapText="1" readingOrder="1"/>
    </xf>
    <xf numFmtId="14" fontId="11" fillId="4" borderId="10" xfId="0" applyNumberFormat="1" applyFont="1" applyFill="1" applyBorder="1" applyAlignment="1">
      <alignment horizontal="center" vertical="center" wrapText="1" readingOrder="1"/>
    </xf>
    <xf numFmtId="0" fontId="15" fillId="2" borderId="14" xfId="0" applyFont="1" applyFill="1" applyBorder="1" applyAlignment="1">
      <alignment horizontal="center" vertical="center" textRotation="90" wrapText="1" readingOrder="1"/>
    </xf>
    <xf numFmtId="0" fontId="17" fillId="2" borderId="3" xfId="0" applyFont="1" applyFill="1" applyBorder="1" applyAlignment="1">
      <alignment horizontal="center" vertical="center" wrapText="1" readingOrder="1"/>
    </xf>
    <xf numFmtId="0" fontId="17" fillId="2" borderId="11" xfId="0" applyFont="1" applyFill="1" applyBorder="1" applyAlignment="1">
      <alignment horizontal="center" vertical="center" wrapText="1" readingOrder="1"/>
    </xf>
    <xf numFmtId="0" fontId="17" fillId="2" borderId="14" xfId="0" applyFont="1" applyFill="1" applyBorder="1" applyAlignment="1">
      <alignment horizontal="center" vertical="center" wrapText="1" readingOrder="1"/>
    </xf>
    <xf numFmtId="0" fontId="13" fillId="4" borderId="6" xfId="0" applyFont="1" applyFill="1" applyBorder="1" applyAlignment="1">
      <alignment vertical="center" wrapText="1" readingOrder="1"/>
    </xf>
    <xf numFmtId="0" fontId="13" fillId="4" borderId="7" xfId="0" applyFont="1" applyFill="1" applyBorder="1" applyAlignment="1">
      <alignment vertical="center" wrapText="1" readingOrder="1"/>
    </xf>
    <xf numFmtId="0" fontId="17" fillId="0" borderId="3" xfId="0" applyFont="1" applyBorder="1" applyAlignment="1">
      <alignment horizontal="center" vertical="center" wrapText="1" readingOrder="1"/>
    </xf>
    <xf numFmtId="0" fontId="17" fillId="0" borderId="11" xfId="0" applyFont="1" applyBorder="1" applyAlignment="1">
      <alignment horizontal="center" vertical="center" wrapText="1" readingOrder="1"/>
    </xf>
    <xf numFmtId="0" fontId="17" fillId="0" borderId="14" xfId="0" applyFont="1" applyBorder="1" applyAlignment="1">
      <alignment horizontal="center" vertical="center" wrapText="1" readingOrder="1"/>
    </xf>
    <xf numFmtId="14" fontId="11" fillId="4" borderId="9" xfId="0" applyNumberFormat="1" applyFont="1" applyFill="1" applyBorder="1" applyAlignment="1">
      <alignment horizontal="center" vertical="center" wrapText="1" readingOrder="1"/>
    </xf>
    <xf numFmtId="14" fontId="11" fillId="4" borderId="35" xfId="0" applyNumberFormat="1" applyFont="1" applyFill="1" applyBorder="1" applyAlignment="1">
      <alignment horizontal="center" vertical="center" wrapText="1" readingOrder="1"/>
    </xf>
    <xf numFmtId="14" fontId="11" fillId="4" borderId="37" xfId="0" applyNumberFormat="1" applyFont="1" applyFill="1" applyBorder="1" applyAlignment="1">
      <alignment horizontal="center" vertical="center" wrapText="1" readingOrder="1"/>
    </xf>
    <xf numFmtId="0" fontId="11" fillId="4" borderId="3" xfId="0" applyFont="1" applyFill="1" applyBorder="1" applyAlignment="1">
      <alignment horizontal="center" vertical="center" wrapText="1" readingOrder="1"/>
    </xf>
    <xf numFmtId="0" fontId="11" fillId="4" borderId="11" xfId="0" applyFont="1" applyFill="1" applyBorder="1" applyAlignment="1">
      <alignment horizontal="center" vertical="center" wrapText="1" readingOrder="1"/>
    </xf>
    <xf numFmtId="0" fontId="11" fillId="4" borderId="14" xfId="0" applyFont="1" applyFill="1" applyBorder="1" applyAlignment="1">
      <alignment horizontal="center" vertical="center" wrapText="1" readingOrder="1"/>
    </xf>
    <xf numFmtId="0" fontId="12" fillId="4" borderId="4" xfId="0" applyFont="1" applyFill="1" applyBorder="1" applyAlignment="1">
      <alignment horizontal="left" vertical="center" wrapText="1" readingOrder="1"/>
    </xf>
    <xf numFmtId="0" fontId="12" fillId="4" borderId="5" xfId="0" applyFont="1" applyFill="1" applyBorder="1" applyAlignment="1">
      <alignment horizontal="left" vertical="center" wrapText="1" readingOrder="1"/>
    </xf>
    <xf numFmtId="0" fontId="9" fillId="4" borderId="1" xfId="0" applyFont="1" applyFill="1" applyBorder="1" applyAlignment="1">
      <alignment horizontal="left" vertical="center" wrapText="1" readingOrder="1"/>
    </xf>
    <xf numFmtId="0" fontId="9" fillId="4" borderId="2" xfId="0" applyFont="1" applyFill="1" applyBorder="1" applyAlignment="1">
      <alignment horizontal="left" vertical="center" wrapText="1" readingOrder="1"/>
    </xf>
    <xf numFmtId="14" fontId="11" fillId="4" borderId="36" xfId="0" applyNumberFormat="1" applyFont="1" applyFill="1" applyBorder="1" applyAlignment="1">
      <alignment horizontal="center" vertical="center" wrapText="1" readingOrder="1"/>
    </xf>
    <xf numFmtId="0" fontId="15" fillId="2" borderId="17" xfId="0" applyFont="1" applyFill="1" applyBorder="1" applyAlignment="1">
      <alignment horizontal="center" vertical="center" textRotation="90" wrapText="1" readingOrder="1"/>
    </xf>
    <xf numFmtId="0" fontId="15" fillId="2" borderId="19" xfId="0" applyFont="1" applyFill="1" applyBorder="1" applyAlignment="1">
      <alignment horizontal="center" vertical="center" textRotation="90" readingOrder="1"/>
    </xf>
    <xf numFmtId="0" fontId="15" fillId="2" borderId="18" xfId="0" applyFont="1" applyFill="1" applyBorder="1" applyAlignment="1">
      <alignment horizontal="center" vertical="center" textRotation="90" readingOrder="1"/>
    </xf>
    <xf numFmtId="0" fontId="17" fillId="2" borderId="17" xfId="0" applyFont="1" applyFill="1" applyBorder="1" applyAlignment="1">
      <alignment horizontal="center" vertical="center" wrapText="1" readingOrder="1"/>
    </xf>
    <xf numFmtId="0" fontId="17" fillId="2" borderId="19" xfId="0" applyFont="1" applyFill="1" applyBorder="1" applyAlignment="1">
      <alignment horizontal="center" vertical="center" wrapText="1" readingOrder="1"/>
    </xf>
    <xf numFmtId="0" fontId="0" fillId="0" borderId="18" xfId="0" applyBorder="1"/>
    <xf numFmtId="0" fontId="0" fillId="0" borderId="14" xfId="0" applyBorder="1" applyAlignment="1">
      <alignment horizontal="center" vertical="center" wrapText="1" readingOrder="1"/>
    </xf>
    <xf numFmtId="0" fontId="0" fillId="0" borderId="11" xfId="0" applyBorder="1" applyAlignment="1">
      <alignment horizontal="center" vertical="center" wrapText="1" readingOrder="1"/>
    </xf>
    <xf numFmtId="0" fontId="13" fillId="4" borderId="6" xfId="0" applyFont="1" applyFill="1" applyBorder="1" applyAlignment="1">
      <alignment horizontal="left" vertical="center" wrapText="1" readingOrder="1"/>
    </xf>
    <xf numFmtId="0" fontId="13" fillId="4" borderId="7" xfId="0" applyFont="1" applyFill="1" applyBorder="1" applyAlignment="1">
      <alignment horizontal="left" vertical="center" wrapText="1" readingOrder="1"/>
    </xf>
    <xf numFmtId="0" fontId="15" fillId="2" borderId="3" xfId="0" applyFont="1" applyFill="1" applyBorder="1" applyAlignment="1">
      <alignment horizontal="center" vertical="center" textRotation="90" readingOrder="1"/>
    </xf>
    <xf numFmtId="0" fontId="0" fillId="0" borderId="11" xfId="0" applyBorder="1" applyAlignment="1">
      <alignment horizontal="center" vertical="center" textRotation="90" readingOrder="1"/>
    </xf>
    <xf numFmtId="0" fontId="0" fillId="0" borderId="14" xfId="0" applyBorder="1" applyAlignment="1">
      <alignment horizontal="center" vertical="center" textRotation="90" readingOrder="1"/>
    </xf>
    <xf numFmtId="0" fontId="0" fillId="0" borderId="19" xfId="0" applyBorder="1"/>
    <xf numFmtId="0" fontId="0" fillId="0" borderId="11" xfId="0" applyBorder="1" applyAlignment="1">
      <alignment horizontal="center" vertical="center" textRotation="90" wrapText="1" readingOrder="1"/>
    </xf>
    <xf numFmtId="0" fontId="0" fillId="0" borderId="14" xfId="0" applyBorder="1" applyAlignment="1">
      <alignment horizontal="center" vertical="center" textRotation="90" wrapText="1" readingOrder="1"/>
    </xf>
    <xf numFmtId="0" fontId="11" fillId="4" borderId="0" xfId="5" applyFont="1" applyFill="1" applyAlignment="1">
      <alignment horizontal="center" wrapText="1"/>
    </xf>
  </cellXfs>
  <cellStyles count="9">
    <cellStyle name="Comma" xfId="1" builtinId="3"/>
    <cellStyle name="Comma 2" xfId="6" xr:uid="{DEF02301-5AA0-499D-8478-189EBEB85A98}"/>
    <cellStyle name="Currency" xfId="2" builtinId="4"/>
    <cellStyle name="Currency 2" xfId="7" xr:uid="{BCF9FF25-E98C-407C-885D-598BE6873838}"/>
    <cellStyle name="Hyperlink" xfId="4" builtinId="8"/>
    <cellStyle name="Normal" xfId="0" builtinId="0"/>
    <cellStyle name="Normal 2" xfId="5" xr:uid="{7E559461-870A-4F72-AB3A-A1ECDCF9D6EB}"/>
    <cellStyle name="Normal 3" xfId="8" xr:uid="{8B1253BC-0EC4-45DF-B896-F1D97EE94901}"/>
    <cellStyle name="Percent" xfId="3" builtinId="5"/>
  </cellStyles>
  <dxfs count="1">
    <dxf>
      <font>
        <color rgb="FF9C0006"/>
      </font>
      <fill>
        <patternFill>
          <bgColor rgb="FFFFC7CE"/>
        </patternFill>
      </fill>
    </dxf>
  </dxfs>
  <tableStyles count="0" defaultTableStyle="TableStyleMedium2" defaultPivotStyle="PivotStyleLight16"/>
  <colors>
    <mruColors>
      <color rgb="FFFF3300"/>
      <color rgb="FFFFFFFF"/>
      <color rgb="FF0079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verint.sharepoint.com/sites/AMER-NY-FPA/Shared%20Documents/FYE%20Jan%202025%20Actual/Q2/IR%20Presentation/Financial%20Dashboard/POTENTIAL%20Q2%20EDIT%20-%20VRNT%20Financial%20Dashboard%20Q1%20FYE25%2006.04.24%20vF%20Matt%20Share%20-%20New%20AI%20Book%20metrics.xlsx" TargetMode="External"/><Relationship Id="rId2" Type="http://schemas.microsoft.com/office/2019/04/relationships/externalLinkLongPath" Target="/personal/matthew_frankel_verint_com/Documents/Desktop/IR/Financial%20Dashboard/FY25/Q3/POTENTIAL%20Q2%20EDIT%20-%20VRNT%20Financial%20Dashboard%20Q1%20FYE25%2006.04.24%20vF%20Matt%20Share%20-%20New%20AI%20Book%20metrics.xlsx?8DB5CCBC" TargetMode="External"/><Relationship Id="rId1" Type="http://schemas.openxmlformats.org/officeDocument/2006/relationships/externalLinkPath" Target="file:///\\8DB5CCBC\POTENTIAL%20Q2%20EDIT%20-%20VRNT%20Financial%20Dashboard%20Q1%20FYE25%2006.04.24%20vF%20Matt%20Share%20-%20New%20AI%20Book%20metri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Table of Contents"/>
      <sheetName val="SaaS KPIs"/>
      <sheetName val="Summary P&amp;L"/>
      <sheetName val="Recurring Summary"/>
      <sheetName val="Nonrecurring Summary"/>
      <sheetName val="Constant Currency"/>
      <sheetName val="Gross Profit"/>
      <sheetName val="Operating Expenses"/>
      <sheetName val="Operating Margins"/>
      <sheetName val="EBITDA Margins"/>
      <sheetName val="Other Expense, Tax &amp; NI"/>
      <sheetName val="EPS &amp; DSO"/>
      <sheetName val="Debt"/>
      <sheetName val="Divestiture Revenue"/>
      <sheetName val="&gt;&gt;&gt;"/>
      <sheetName val="Revenue Metrics Reconciliation"/>
      <sheetName val="SaaS Revenue Reconciliation"/>
      <sheetName val="Footnotes"/>
      <sheetName val=" Suppl. Info NG Measu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8BCD8-9D89-4F2D-8F00-CFC54EDC065B}">
  <sheetPr codeName="Sheet1">
    <tabColor rgb="FF0079FF"/>
  </sheetPr>
  <dimension ref="A1:A21"/>
  <sheetViews>
    <sheetView tabSelected="1" zoomScale="65" zoomScaleNormal="65" workbookViewId="0">
      <selection activeCell="Z18" sqref="Z18"/>
    </sheetView>
  </sheetViews>
  <sheetFormatPr defaultColWidth="9.1328125" defaultRowHeight="19.75"/>
  <cols>
    <col min="1" max="1" width="65" style="2" bestFit="1" customWidth="1"/>
    <col min="2" max="16384" width="9.1328125" style="2"/>
  </cols>
  <sheetData>
    <row r="1" spans="1:1">
      <c r="A1" s="1" t="s">
        <v>0</v>
      </c>
    </row>
    <row r="3" spans="1:1">
      <c r="A3" s="3" t="s">
        <v>1</v>
      </c>
    </row>
    <row r="4" spans="1:1">
      <c r="A4" s="4" t="s">
        <v>340</v>
      </c>
    </row>
    <row r="5" spans="1:1">
      <c r="A5" s="4" t="s">
        <v>329</v>
      </c>
    </row>
    <row r="6" spans="1:1">
      <c r="A6" s="4" t="s">
        <v>2</v>
      </c>
    </row>
    <row r="7" spans="1:1">
      <c r="A7" s="4" t="s">
        <v>3</v>
      </c>
    </row>
    <row r="8" spans="1:1">
      <c r="A8" s="4" t="s">
        <v>4</v>
      </c>
    </row>
    <row r="9" spans="1:1">
      <c r="A9" s="4" t="s">
        <v>5</v>
      </c>
    </row>
    <row r="10" spans="1:1">
      <c r="A10" s="4" t="s">
        <v>6</v>
      </c>
    </row>
    <row r="11" spans="1:1">
      <c r="A11" s="4" t="s">
        <v>7</v>
      </c>
    </row>
    <row r="12" spans="1:1">
      <c r="A12" s="4" t="s">
        <v>8</v>
      </c>
    </row>
    <row r="13" spans="1:1">
      <c r="A13" s="4" t="s">
        <v>9</v>
      </c>
    </row>
    <row r="14" spans="1:1">
      <c r="A14" s="4" t="s">
        <v>10</v>
      </c>
    </row>
    <row r="15" spans="1:1">
      <c r="A15" s="4" t="s">
        <v>11</v>
      </c>
    </row>
    <row r="16" spans="1:1">
      <c r="A16" s="4" t="s">
        <v>12</v>
      </c>
    </row>
    <row r="17" spans="1:1">
      <c r="A17" s="4" t="s">
        <v>13</v>
      </c>
    </row>
    <row r="18" spans="1:1">
      <c r="A18" s="4" t="s">
        <v>14</v>
      </c>
    </row>
    <row r="19" spans="1:1">
      <c r="A19" s="4" t="s">
        <v>15</v>
      </c>
    </row>
    <row r="20" spans="1:1">
      <c r="A20" s="4" t="s">
        <v>16</v>
      </c>
    </row>
    <row r="21" spans="1:1">
      <c r="A21" s="4" t="s">
        <v>17</v>
      </c>
    </row>
  </sheetData>
  <hyperlinks>
    <hyperlink ref="A18" location="'Revenue Metrics Reconciliation'!A1" display="Revenue Metrics Reconciliation" xr:uid="{5F801941-2B64-4FDB-851E-3BA169571876}"/>
    <hyperlink ref="A9" location="'Constant Currency'!A1" display="Constant Currency" xr:uid="{9164C2CE-5FE5-44A4-BB8B-28BFB120F66B}"/>
    <hyperlink ref="A19" location="'SaaS Revenue Reconciliation'!A1" display="SaaS Revenue Reconciliation" xr:uid="{E4ED6A8F-2D7D-4B79-829B-81969C1ADDEE}"/>
    <hyperlink ref="A11" location="'Operating Expenses'!A1" display="Operating Expenses" xr:uid="{ECEF8617-7CE2-4BFA-A4B0-50A57F68BDB8}"/>
    <hyperlink ref="A10" location="'Gross Profit'!A1" display="Gross Profit " xr:uid="{DE25465B-5B64-43C6-A922-517CA45CE514}"/>
    <hyperlink ref="A12" location="'Operating Margins'!A1" display="Operating Margins" xr:uid="{15B94B2A-87FD-4146-8293-EF6C3FE702A6}"/>
    <hyperlink ref="A20" location="Footnotes!A1" display="Footnotes" xr:uid="{91A62A3C-2E80-4853-A7ED-E09874579F4D}"/>
    <hyperlink ref="A21" location="' Suppl. Info NG Measures'!A1" display="Supplemental Information About Non-GAAP Financial Measures" xr:uid="{F6CF870C-188A-4A46-A7B4-1F02165FC779}"/>
    <hyperlink ref="A13" location="'EBITDA Margins'!A1" display="EBITDA Margins" xr:uid="{9033E703-F5D3-4FB2-BDE5-0F474509C65A}"/>
    <hyperlink ref="A14" location="'Other Expense, Tax &amp; NI'!A1" display="Other Expense, Tax &amp; NI" xr:uid="{33AC64A3-837C-4E41-8A89-E5E94466B92F}"/>
    <hyperlink ref="A15" location="'EPS &amp; DSO'!A1" display="EPS &amp; DSO" xr:uid="{91CB319B-CB76-4DA0-B3CD-5A6CBF8BE1E4}"/>
    <hyperlink ref="A16" location="Debt!A1" display="Debt" xr:uid="{3F4CDBE9-1830-48C6-A186-E4995DE76298}"/>
    <hyperlink ref="A6" location="'Summary P&amp;L'!A1" display="'Summary P&amp;L" xr:uid="{02EB5C0D-FD3F-4F59-8E93-4059E2AC3A5F}"/>
    <hyperlink ref="A7" location="'Recurring Summary'!A1" display="'Recurring Summary" xr:uid="{6F4ADA29-07A0-4AA2-9E60-B37B98447EC9}"/>
    <hyperlink ref="A8" location="'Nonrecurring Summary'!A1" display="'Nonrecurring Summary" xr:uid="{9EE0CB16-3A47-45B9-A4CB-590760BD1279}"/>
    <hyperlink ref="A4" location="'Subscription KPIs'!A1" display="Subscription KPIs" xr:uid="{6BA71B48-F2CE-45DA-ACC9-F33CE9DD436A}"/>
    <hyperlink ref="A17" location="'Divestiture Revenue'!A1" display="Divestiture Revenue" xr:uid="{3927F801-D780-4810-9DC2-5A31380AFA23}"/>
    <hyperlink ref="A5" location="'Cash Generation Model'!A1" display="'Cash Generation Model" xr:uid="{CFB6C303-42DD-46D7-9120-7478F779A88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7A653-4632-4C83-9F0A-334844EA77D4}">
  <sheetPr codeName="Sheet9">
    <tabColor rgb="FF0079FF"/>
    <pageSetUpPr fitToPage="1"/>
  </sheetPr>
  <dimension ref="A1:AH116"/>
  <sheetViews>
    <sheetView zoomScale="65" zoomScaleNormal="65" zoomScaleSheetLayoutView="85" workbookViewId="0">
      <pane xSplit="1" ySplit="4" topLeftCell="G5" activePane="bottomRight" state="frozen"/>
      <selection pane="topRight" activeCell="B1" sqref="B1"/>
      <selection pane="bottomLeft" activeCell="A5" sqref="A5"/>
      <selection pane="bottomRight" activeCell="G5" sqref="G5"/>
    </sheetView>
  </sheetViews>
  <sheetFormatPr defaultColWidth="9.1328125" defaultRowHeight="10.5" outlineLevelCol="1"/>
  <cols>
    <col min="1" max="1" width="69.1328125" style="60" customWidth="1"/>
    <col min="2" max="5" width="20.40625" style="37" hidden="1" customWidth="1" outlineLevel="1"/>
    <col min="6" max="6" width="1.86328125" style="37" hidden="1" customWidth="1" outlineLevel="1"/>
    <col min="7" max="7" width="20.40625" style="37" customWidth="1" collapsed="1"/>
    <col min="8" max="8" width="1.40625" style="37" customWidth="1"/>
    <col min="9" max="9" width="20.40625" style="37" hidden="1" customWidth="1" outlineLevel="1"/>
    <col min="10" max="12" width="21.40625" style="37" hidden="1" customWidth="1" outlineLevel="1"/>
    <col min="13" max="13" width="1.40625" style="37" hidden="1" customWidth="1" outlineLevel="1"/>
    <col min="14" max="14" width="20.40625" style="37" customWidth="1" collapsed="1"/>
    <col min="15" max="15" width="1.40625" style="37" customWidth="1"/>
    <col min="16" max="19" width="20.40625" style="37" hidden="1" customWidth="1" outlineLevel="1"/>
    <col min="20" max="20" width="2.40625" style="37" hidden="1" customWidth="1" outlineLevel="1"/>
    <col min="21" max="21" width="20.40625" style="37" customWidth="1" collapsed="1"/>
    <col min="22" max="22" width="3.40625" style="37" customWidth="1"/>
    <col min="23" max="26" width="19.1328125" style="37" customWidth="1"/>
    <col min="27" max="27" width="2" style="37" customWidth="1"/>
    <col min="28" max="28" width="20.40625" style="37" customWidth="1"/>
    <col min="29" max="29" width="3.40625" style="37" customWidth="1"/>
    <col min="30" max="32" width="19.1328125" style="37" customWidth="1"/>
    <col min="33" max="33" width="2.40625" style="37" customWidth="1"/>
    <col min="34" max="34" width="20.40625" style="37" customWidth="1"/>
    <col min="35" max="16384" width="9.1328125" style="37"/>
  </cols>
  <sheetData>
    <row r="1" spans="1:34" ht="18">
      <c r="A1" s="5" t="s">
        <v>8</v>
      </c>
    </row>
    <row r="2" spans="1:34">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H2" s="38"/>
    </row>
    <row r="3" spans="1:34" s="7" customFormat="1" ht="30" customHeight="1">
      <c r="A3" s="41"/>
      <c r="B3" s="355" t="s">
        <v>21</v>
      </c>
      <c r="C3" s="355"/>
      <c r="D3" s="355"/>
      <c r="E3" s="355"/>
      <c r="F3" s="138"/>
      <c r="G3" s="40" t="s">
        <v>22</v>
      </c>
      <c r="H3" s="138"/>
      <c r="I3" s="355" t="s">
        <v>21</v>
      </c>
      <c r="J3" s="355"/>
      <c r="K3" s="355"/>
      <c r="L3" s="355"/>
      <c r="M3" s="138"/>
      <c r="N3" s="40" t="s">
        <v>22</v>
      </c>
      <c r="O3" s="138"/>
      <c r="P3" s="355" t="s">
        <v>21</v>
      </c>
      <c r="Q3" s="355"/>
      <c r="R3" s="355"/>
      <c r="S3" s="355"/>
      <c r="U3" s="40" t="s">
        <v>22</v>
      </c>
      <c r="W3" s="355" t="s">
        <v>21</v>
      </c>
      <c r="X3" s="355"/>
      <c r="Y3" s="355"/>
      <c r="Z3" s="355"/>
      <c r="AB3" s="40" t="s">
        <v>22</v>
      </c>
      <c r="AD3" s="355" t="s">
        <v>21</v>
      </c>
      <c r="AE3" s="355"/>
      <c r="AF3" s="355"/>
      <c r="AH3" s="40" t="s">
        <v>320</v>
      </c>
    </row>
    <row r="4" spans="1:34" s="7" customFormat="1" ht="30" customHeight="1">
      <c r="A4" s="41" t="s">
        <v>24</v>
      </c>
      <c r="B4" s="42" t="s">
        <v>80</v>
      </c>
      <c r="C4" s="42" t="s">
        <v>81</v>
      </c>
      <c r="D4" s="42" t="s">
        <v>82</v>
      </c>
      <c r="E4" s="42" t="s">
        <v>83</v>
      </c>
      <c r="F4" s="139"/>
      <c r="G4" s="42" t="s">
        <v>83</v>
      </c>
      <c r="H4" s="139"/>
      <c r="I4" s="42" t="s">
        <v>84</v>
      </c>
      <c r="J4" s="42" t="s">
        <v>85</v>
      </c>
      <c r="K4" s="42" t="s">
        <v>86</v>
      </c>
      <c r="L4" s="42" t="s">
        <v>87</v>
      </c>
      <c r="M4" s="139"/>
      <c r="N4" s="42" t="s">
        <v>87</v>
      </c>
      <c r="O4" s="139"/>
      <c r="P4" s="42" t="s">
        <v>88</v>
      </c>
      <c r="Q4" s="42" t="s">
        <v>89</v>
      </c>
      <c r="R4" s="42" t="s">
        <v>90</v>
      </c>
      <c r="S4" s="42" t="s">
        <v>91</v>
      </c>
      <c r="U4" s="42" t="s">
        <v>91</v>
      </c>
      <c r="W4" s="42" t="s">
        <v>23</v>
      </c>
      <c r="X4" s="42" t="s">
        <v>92</v>
      </c>
      <c r="Y4" s="42" t="s">
        <v>93</v>
      </c>
      <c r="Z4" s="42" t="s">
        <v>94</v>
      </c>
      <c r="AB4" s="42" t="s">
        <v>94</v>
      </c>
      <c r="AD4" s="42" t="s">
        <v>95</v>
      </c>
      <c r="AE4" s="42" t="s">
        <v>309</v>
      </c>
      <c r="AF4" s="42" t="s">
        <v>319</v>
      </c>
      <c r="AH4" s="42" t="s">
        <v>319</v>
      </c>
    </row>
    <row r="5" spans="1:34" s="51" customFormat="1" ht="16.75">
      <c r="A5" s="70"/>
    </row>
    <row r="6" spans="1:34" s="51" customFormat="1" ht="16.75">
      <c r="A6" s="288" t="s">
        <v>162</v>
      </c>
      <c r="B6" s="45">
        <v>-2.0409999999999999</v>
      </c>
      <c r="C6" s="45">
        <v>21.573</v>
      </c>
      <c r="D6" s="45">
        <v>20.056999999999999</v>
      </c>
      <c r="E6" s="45">
        <v>17.832999999999998</v>
      </c>
      <c r="F6" s="136"/>
      <c r="G6" s="45">
        <f>+B6+C6+D6+E6</f>
        <v>57.421999999999997</v>
      </c>
      <c r="H6" s="136"/>
      <c r="I6" s="45">
        <v>4.4420000000000002</v>
      </c>
      <c r="J6" s="45">
        <v>11.537000000000001</v>
      </c>
      <c r="K6" s="45">
        <v>24.667999999999999</v>
      </c>
      <c r="L6" s="215">
        <v>6.1959999999999997</v>
      </c>
      <c r="M6" s="136"/>
      <c r="N6" s="45">
        <f>+I6+J6+K6+L6</f>
        <v>46.842999999999996</v>
      </c>
      <c r="O6" s="136"/>
      <c r="P6" s="45">
        <v>0.498</v>
      </c>
      <c r="Q6" s="45">
        <v>1.51</v>
      </c>
      <c r="R6" s="45">
        <v>21.678000000000001</v>
      </c>
      <c r="S6" s="45">
        <v>33.67</v>
      </c>
      <c r="T6" s="83"/>
      <c r="U6" s="45">
        <f>SUM(P6:T6)</f>
        <v>57.356000000000002</v>
      </c>
      <c r="V6" s="83"/>
      <c r="W6" s="45">
        <v>8.7720000000000002</v>
      </c>
      <c r="X6" s="45">
        <v>-7.5119999999999996</v>
      </c>
      <c r="Y6" s="45">
        <v>26.718</v>
      </c>
      <c r="Z6" s="45">
        <v>40.207000000000001</v>
      </c>
      <c r="AA6" s="83"/>
      <c r="AB6" s="45">
        <f>W6+X6+Y6+Z6</f>
        <v>68.185000000000002</v>
      </c>
      <c r="AC6" s="83"/>
      <c r="AD6" s="45">
        <v>24.445</v>
      </c>
      <c r="AE6" s="45">
        <v>13.87</v>
      </c>
      <c r="AF6" s="45">
        <v>21.748000000000001</v>
      </c>
      <c r="AH6" s="45">
        <f>SUM(AD6:AF6)</f>
        <v>60.063000000000002</v>
      </c>
    </row>
    <row r="7" spans="1:34" s="51" customFormat="1" ht="16.75">
      <c r="A7" s="44" t="s">
        <v>163</v>
      </c>
      <c r="B7" s="79">
        <v>-1.0999999999999999E-2</v>
      </c>
      <c r="C7" s="79">
        <v>0.106</v>
      </c>
      <c r="D7" s="79">
        <v>9.2999999999999999E-2</v>
      </c>
      <c r="E7" s="79">
        <v>7.9000000000000001E-2</v>
      </c>
      <c r="F7" s="154"/>
      <c r="G7" s="79">
        <v>6.9000000000000006E-2</v>
      </c>
      <c r="H7" s="154"/>
      <c r="I7" s="79">
        <v>2.1999999999999999E-2</v>
      </c>
      <c r="J7" s="79">
        <v>5.3999999999999999E-2</v>
      </c>
      <c r="K7" s="79">
        <v>0.11</v>
      </c>
      <c r="L7" s="79">
        <v>2.5999999999999999E-2</v>
      </c>
      <c r="M7" s="154"/>
      <c r="N7" s="79">
        <v>5.3999999999999999E-2</v>
      </c>
      <c r="O7" s="154"/>
      <c r="P7" s="79">
        <v>2E-3</v>
      </c>
      <c r="Q7" s="79">
        <v>7.0000000000000001E-3</v>
      </c>
      <c r="R7" s="79">
        <v>9.6000000000000002E-2</v>
      </c>
      <c r="S7" s="79">
        <v>0.14299999999999999</v>
      </c>
      <c r="T7" s="55"/>
      <c r="U7" s="79">
        <v>6.4000000000000001E-2</v>
      </c>
      <c r="V7" s="55"/>
      <c r="W7" s="79">
        <v>4.1000000000000002E-2</v>
      </c>
      <c r="X7" s="79">
        <v>-3.5999999999999997E-2</v>
      </c>
      <c r="Y7" s="79">
        <v>0.122</v>
      </c>
      <c r="Z7" s="79">
        <v>0.152</v>
      </c>
      <c r="AA7" s="79"/>
      <c r="AB7" s="79">
        <v>7.4999999999999997E-2</v>
      </c>
      <c r="AC7" s="55"/>
      <c r="AD7" s="79">
        <v>0.11</v>
      </c>
      <c r="AE7" s="79">
        <v>6.6000000000000003E-2</v>
      </c>
      <c r="AF7" s="79">
        <v>9.7000000000000003E-2</v>
      </c>
      <c r="AH7" s="79">
        <v>9.1999999999999998E-2</v>
      </c>
    </row>
    <row r="8" spans="1:34" s="51" customFormat="1" ht="16.75">
      <c r="A8" s="44"/>
      <c r="B8" s="55"/>
      <c r="C8" s="55"/>
      <c r="D8" s="55"/>
      <c r="E8" s="55"/>
      <c r="F8" s="128"/>
      <c r="G8" s="55"/>
      <c r="H8" s="156"/>
      <c r="I8" s="84"/>
      <c r="J8" s="84"/>
      <c r="K8" s="84"/>
      <c r="L8" s="84"/>
      <c r="M8" s="156"/>
      <c r="N8" s="84"/>
      <c r="O8" s="156"/>
      <c r="P8" s="84"/>
      <c r="Q8" s="84"/>
      <c r="R8" s="84"/>
      <c r="S8" s="84"/>
      <c r="T8" s="55"/>
      <c r="U8" s="84"/>
      <c r="V8" s="55"/>
      <c r="W8" s="84"/>
      <c r="X8" s="84"/>
      <c r="Y8" s="84"/>
      <c r="Z8" s="84"/>
      <c r="AA8" s="55"/>
      <c r="AB8" s="84"/>
      <c r="AC8" s="55"/>
      <c r="AD8" s="84"/>
      <c r="AE8" s="84"/>
      <c r="AF8" s="84"/>
      <c r="AH8" s="84"/>
    </row>
    <row r="9" spans="1:34" s="51" customFormat="1" ht="16.75">
      <c r="A9" s="48" t="s">
        <v>110</v>
      </c>
      <c r="B9" s="49">
        <f>'Revenue Metrics Reconciliation'!C22</f>
        <v>3.2620000000000005</v>
      </c>
      <c r="C9" s="49">
        <f>'Revenue Metrics Reconciliation'!D22</f>
        <v>3.0660000000000309</v>
      </c>
      <c r="D9" s="49">
        <f>'Revenue Metrics Reconciliation'!E22</f>
        <v>2.2270000000000039</v>
      </c>
      <c r="E9" s="49">
        <f>'Revenue Metrics Reconciliation'!F22</f>
        <v>1.7809999999999491</v>
      </c>
      <c r="F9" s="140"/>
      <c r="G9" s="49">
        <f t="shared" ref="G9:G22" si="0">+B9+C9+D9+E9</f>
        <v>10.335999999999984</v>
      </c>
      <c r="H9" s="140"/>
      <c r="I9" s="49">
        <f>'Revenue Metrics Reconciliation'!J22</f>
        <v>1.0390000000000157</v>
      </c>
      <c r="J9" s="49">
        <v>1.0129999999999999</v>
      </c>
      <c r="K9" s="49">
        <v>2.1080000000000001</v>
      </c>
      <c r="L9" s="49">
        <v>2.0110000000000001</v>
      </c>
      <c r="M9" s="140"/>
      <c r="N9" s="49">
        <f t="shared" ref="N9:N22" si="1">+I9+J9+K9+L9</f>
        <v>6.1710000000000163</v>
      </c>
      <c r="O9" s="140"/>
      <c r="P9" s="49">
        <f>'Revenue Metrics Reconciliation'!Q22</f>
        <v>1.3430000000000177</v>
      </c>
      <c r="Q9" s="49">
        <f>'Revenue Metrics Reconciliation'!R22</f>
        <v>0.73200000000002774</v>
      </c>
      <c r="R9" s="49">
        <f>'Revenue Metrics Reconciliation'!S22</f>
        <v>0.4229999999999734</v>
      </c>
      <c r="S9" s="49">
        <f>'Revenue Metrics Reconciliation'!T22</f>
        <v>0.5040000000000191</v>
      </c>
      <c r="T9" s="55"/>
      <c r="U9" s="49">
        <f t="shared" ref="U9:U18" si="2">SUM(P9:T9)</f>
        <v>3.002000000000038</v>
      </c>
      <c r="V9" s="55"/>
      <c r="W9" s="49">
        <f>'Revenue Metrics Reconciliation'!X22</f>
        <v>0.62699999999995271</v>
      </c>
      <c r="X9" s="49">
        <f>'Revenue Metrics Reconciliation'!Y22</f>
        <v>0.24199999999999022</v>
      </c>
      <c r="Y9" s="49">
        <f>'Revenue Metrics Reconciliation'!Z22</f>
        <v>0.1199999999999477</v>
      </c>
      <c r="Z9" s="49">
        <f>'Revenue Metrics Reconciliation'!AA22</f>
        <v>0.11100000000004684</v>
      </c>
      <c r="AA9" s="55"/>
      <c r="AB9" s="49">
        <f t="shared" ref="AB9:AB21" si="3">W9+X9+Y9+Z9</f>
        <v>1.0999999999999375</v>
      </c>
      <c r="AC9" s="55"/>
      <c r="AD9" s="49">
        <v>0</v>
      </c>
      <c r="AE9" s="49">
        <v>0</v>
      </c>
      <c r="AF9" s="49">
        <v>0</v>
      </c>
      <c r="AH9" s="49">
        <f>SUM(AD9:AF9)</f>
        <v>0</v>
      </c>
    </row>
    <row r="10" spans="1:34" s="51" customFormat="1" ht="16.75">
      <c r="A10" s="48" t="s">
        <v>106</v>
      </c>
      <c r="B10" s="49">
        <v>4.3559999999999999</v>
      </c>
      <c r="C10" s="49">
        <v>4.1890000000000001</v>
      </c>
      <c r="D10" s="49">
        <v>4.0439999999999996</v>
      </c>
      <c r="E10" s="49">
        <v>5.3730000000000002</v>
      </c>
      <c r="F10" s="140"/>
      <c r="G10" s="49">
        <f t="shared" si="0"/>
        <v>17.962</v>
      </c>
      <c r="H10" s="140"/>
      <c r="I10" s="49">
        <v>4.3840000000000003</v>
      </c>
      <c r="J10" s="49">
        <v>4.4260000000000002</v>
      </c>
      <c r="K10" s="49">
        <v>4.7489999999999997</v>
      </c>
      <c r="L10" s="49">
        <v>4.218</v>
      </c>
      <c r="M10" s="140"/>
      <c r="N10" s="49">
        <f t="shared" si="1"/>
        <v>17.777000000000001</v>
      </c>
      <c r="O10" s="140"/>
      <c r="P10" s="49">
        <v>3.6389999999999998</v>
      </c>
      <c r="Q10" s="49">
        <v>3.5529999999999999</v>
      </c>
      <c r="R10" s="49">
        <v>3.55</v>
      </c>
      <c r="S10" s="49">
        <v>2.4489999999999998</v>
      </c>
      <c r="T10" s="55"/>
      <c r="U10" s="49">
        <f t="shared" si="2"/>
        <v>13.191000000000001</v>
      </c>
      <c r="V10" s="55"/>
      <c r="W10" s="49">
        <v>1.9650000000000001</v>
      </c>
      <c r="X10" s="49">
        <v>1.9370000000000001</v>
      </c>
      <c r="Y10" s="49">
        <v>1.609</v>
      </c>
      <c r="Z10" s="49">
        <v>1.623</v>
      </c>
      <c r="AA10" s="55"/>
      <c r="AB10" s="49">
        <f t="shared" si="3"/>
        <v>7.1340000000000003</v>
      </c>
      <c r="AC10" s="55"/>
      <c r="AD10" s="49">
        <v>1.3580000000000001</v>
      </c>
      <c r="AE10" s="49">
        <v>1.641</v>
      </c>
      <c r="AF10" s="49">
        <v>1.5</v>
      </c>
      <c r="AH10" s="49">
        <f>SUM(AD10:AF10)</f>
        <v>4.4990000000000006</v>
      </c>
    </row>
    <row r="11" spans="1:34" s="51" customFormat="1" ht="16.75">
      <c r="A11" s="48" t="s">
        <v>164</v>
      </c>
      <c r="B11" s="49">
        <v>7.7640000000000002</v>
      </c>
      <c r="C11" s="49">
        <v>7.7190000000000003</v>
      </c>
      <c r="D11" s="49">
        <v>7.8330000000000002</v>
      </c>
      <c r="E11" s="49">
        <v>6.4610000000000003</v>
      </c>
      <c r="F11" s="140"/>
      <c r="G11" s="49">
        <f t="shared" si="0"/>
        <v>29.777000000000001</v>
      </c>
      <c r="H11" s="140"/>
      <c r="I11" s="49">
        <v>7.3280000000000003</v>
      </c>
      <c r="J11" s="49">
        <v>7.3449999999999998</v>
      </c>
      <c r="K11" s="49">
        <v>7.2610000000000001</v>
      </c>
      <c r="L11" s="49">
        <v>7.0609999999999999</v>
      </c>
      <c r="M11" s="140"/>
      <c r="N11" s="49">
        <f t="shared" si="1"/>
        <v>28.995000000000001</v>
      </c>
      <c r="O11" s="140"/>
      <c r="P11" s="49">
        <v>6.8440000000000003</v>
      </c>
      <c r="Q11" s="49">
        <v>6.6230000000000002</v>
      </c>
      <c r="R11" s="49">
        <v>6.42</v>
      </c>
      <c r="S11" s="49">
        <v>6.351</v>
      </c>
      <c r="T11" s="55"/>
      <c r="U11" s="49">
        <f t="shared" si="2"/>
        <v>26.238</v>
      </c>
      <c r="V11" s="55"/>
      <c r="W11" s="49">
        <v>6.33</v>
      </c>
      <c r="X11" s="49">
        <v>6.37</v>
      </c>
      <c r="Y11" s="49">
        <v>6.3280000000000003</v>
      </c>
      <c r="Z11" s="49">
        <v>6.343</v>
      </c>
      <c r="AA11" s="55"/>
      <c r="AB11" s="49">
        <f t="shared" si="3"/>
        <v>25.370999999999999</v>
      </c>
      <c r="AC11" s="55"/>
      <c r="AD11" s="49">
        <v>3.0649999999999999</v>
      </c>
      <c r="AE11" s="49">
        <v>3.02</v>
      </c>
      <c r="AF11" s="49">
        <v>3.1560000000000001</v>
      </c>
      <c r="AH11" s="49">
        <f>SUM(AD11:AF11)</f>
        <v>9.2409999999999997</v>
      </c>
    </row>
    <row r="12" spans="1:34" s="51" customFormat="1" ht="16.75">
      <c r="A12" s="48" t="s">
        <v>111</v>
      </c>
      <c r="B12" s="77">
        <v>10.678000000000001</v>
      </c>
      <c r="C12" s="77">
        <v>13.329000000000001</v>
      </c>
      <c r="D12" s="77">
        <v>15.529</v>
      </c>
      <c r="E12" s="77">
        <v>5.6639999999999997</v>
      </c>
      <c r="F12" s="78"/>
      <c r="G12" s="77">
        <f t="shared" si="0"/>
        <v>45.2</v>
      </c>
      <c r="H12" s="78"/>
      <c r="I12" s="77">
        <v>16.401</v>
      </c>
      <c r="J12" s="77">
        <v>18.093</v>
      </c>
      <c r="K12" s="77">
        <v>16.594999999999999</v>
      </c>
      <c r="L12" s="77">
        <v>14.176</v>
      </c>
      <c r="M12" s="78"/>
      <c r="N12" s="77">
        <f t="shared" si="1"/>
        <v>65.265000000000001</v>
      </c>
      <c r="O12" s="78"/>
      <c r="P12" s="77">
        <v>18.369</v>
      </c>
      <c r="Q12" s="77">
        <v>25.693999999999999</v>
      </c>
      <c r="R12" s="77">
        <v>19.899000000000001</v>
      </c>
      <c r="S12" s="77">
        <v>12.151999999999999</v>
      </c>
      <c r="U12" s="77">
        <f t="shared" si="2"/>
        <v>76.114000000000004</v>
      </c>
      <c r="W12" s="77">
        <v>14.978999999999999</v>
      </c>
      <c r="X12" s="77">
        <v>19.120999999999999</v>
      </c>
      <c r="Y12" s="77">
        <v>16.186</v>
      </c>
      <c r="Z12" s="77">
        <v>17.312999999999999</v>
      </c>
      <c r="AB12" s="77">
        <f t="shared" si="3"/>
        <v>67.59899999999999</v>
      </c>
      <c r="AD12" s="77">
        <v>18.021000000000001</v>
      </c>
      <c r="AE12" s="77">
        <v>23.745999999999999</v>
      </c>
      <c r="AF12" s="77">
        <v>18.079999999999998</v>
      </c>
      <c r="AH12" s="77">
        <f>SUM(AD12:AF12)</f>
        <v>59.846999999999994</v>
      </c>
    </row>
    <row r="13" spans="1:34" s="51" customFormat="1" ht="16.75">
      <c r="A13" s="289" t="s">
        <v>165</v>
      </c>
      <c r="B13" s="77">
        <v>-3.3530000000000002</v>
      </c>
      <c r="C13" s="77">
        <v>3.214</v>
      </c>
      <c r="D13" s="77">
        <v>0.65800000000000003</v>
      </c>
      <c r="E13" s="77">
        <v>2.895</v>
      </c>
      <c r="F13" s="78"/>
      <c r="G13" s="77">
        <f t="shared" si="0"/>
        <v>3.4139999999999997</v>
      </c>
      <c r="H13" s="78"/>
      <c r="I13" s="77">
        <v>1.6930000000000001</v>
      </c>
      <c r="J13" s="77">
        <v>3.4239999999999999</v>
      </c>
      <c r="K13" s="77">
        <v>2.8069999999999999</v>
      </c>
      <c r="L13" s="77">
        <v>2.492</v>
      </c>
      <c r="M13" s="78"/>
      <c r="N13" s="77">
        <f t="shared" si="1"/>
        <v>10.416</v>
      </c>
      <c r="O13" s="78"/>
      <c r="P13" s="77">
        <v>1.8240000000000001</v>
      </c>
      <c r="Q13" s="77">
        <v>3.9E-2</v>
      </c>
      <c r="R13" s="77">
        <v>1.1719999999999999</v>
      </c>
      <c r="S13" s="77">
        <v>-1.3460000000000001</v>
      </c>
      <c r="U13" s="77">
        <f t="shared" si="2"/>
        <v>1.6890000000000001</v>
      </c>
      <c r="W13" s="77">
        <v>7.8150000000000004</v>
      </c>
      <c r="X13" s="77">
        <v>-1.5389999999999999</v>
      </c>
      <c r="Y13" s="77">
        <v>-0.156</v>
      </c>
      <c r="Z13" s="77">
        <v>9.8559999999999999</v>
      </c>
      <c r="AB13" s="77">
        <f t="shared" si="3"/>
        <v>15.976000000000001</v>
      </c>
      <c r="AD13" s="77">
        <v>0.20499999999999999</v>
      </c>
      <c r="AE13" s="77">
        <v>0.88</v>
      </c>
      <c r="AF13" s="77">
        <v>1.2509999999999999</v>
      </c>
      <c r="AH13" s="77">
        <f t="shared" ref="AH13:AH20" si="4">SUM(AD13:AF13)</f>
        <v>2.3359999999999999</v>
      </c>
    </row>
    <row r="14" spans="1:34" s="51" customFormat="1" ht="16.75">
      <c r="A14" s="48" t="s">
        <v>113</v>
      </c>
      <c r="B14" s="77">
        <f>4.564-B16</f>
        <v>4.5640000000000001</v>
      </c>
      <c r="C14" s="77">
        <f>0.644-C16</f>
        <v>0.64400000000000002</v>
      </c>
      <c r="D14" s="77">
        <f>0.502-D16</f>
        <v>0.317</v>
      </c>
      <c r="E14" s="77">
        <f>3.791-E16</f>
        <v>1.5760000000000001</v>
      </c>
      <c r="F14" s="78"/>
      <c r="G14" s="77">
        <f t="shared" si="0"/>
        <v>7.1010000000000009</v>
      </c>
      <c r="H14" s="78"/>
      <c r="I14" s="77">
        <f>1.255-I16</f>
        <v>1.2389999999999999</v>
      </c>
      <c r="J14" s="77">
        <f>2.128-J16</f>
        <v>0.66000000000000014</v>
      </c>
      <c r="K14" s="77">
        <f>1.023-K16-0.002</f>
        <v>0.48199999999999987</v>
      </c>
      <c r="L14" s="77">
        <f>11.405-L16</f>
        <v>3.6339999999999995</v>
      </c>
      <c r="M14" s="78"/>
      <c r="N14" s="77">
        <f t="shared" si="1"/>
        <v>6.0149999999999988</v>
      </c>
      <c r="O14" s="78"/>
      <c r="P14" s="77">
        <v>3.149</v>
      </c>
      <c r="Q14" s="77">
        <v>3.847</v>
      </c>
      <c r="R14" s="77">
        <v>2.4260000000000002</v>
      </c>
      <c r="S14" s="77">
        <v>5.9260000000000002</v>
      </c>
      <c r="U14" s="77">
        <f t="shared" si="2"/>
        <v>15.348000000000001</v>
      </c>
      <c r="W14" s="77">
        <v>1.4</v>
      </c>
      <c r="X14" s="77">
        <v>3.218</v>
      </c>
      <c r="Y14" s="77">
        <v>0.48199999999999998</v>
      </c>
      <c r="Z14" s="77">
        <v>5.91</v>
      </c>
      <c r="AB14" s="77">
        <f t="shared" si="3"/>
        <v>11.010000000000002</v>
      </c>
      <c r="AD14" s="77">
        <v>2.7789999999999999</v>
      </c>
      <c r="AE14" s="77">
        <v>0.997</v>
      </c>
      <c r="AF14" s="77">
        <v>1.073</v>
      </c>
      <c r="AH14" s="77">
        <f t="shared" si="4"/>
        <v>4.8490000000000002</v>
      </c>
    </row>
    <row r="15" spans="1:34" s="51" customFormat="1" ht="16.75">
      <c r="A15" s="48" t="s">
        <v>114</v>
      </c>
      <c r="B15" s="77">
        <v>0</v>
      </c>
      <c r="C15" s="77">
        <v>0</v>
      </c>
      <c r="D15" s="77">
        <v>0</v>
      </c>
      <c r="E15" s="77">
        <v>0</v>
      </c>
      <c r="F15" s="78"/>
      <c r="G15" s="77">
        <f t="shared" si="0"/>
        <v>0</v>
      </c>
      <c r="H15" s="78"/>
      <c r="I15" s="77">
        <v>6.0620000000000003</v>
      </c>
      <c r="J15" s="77">
        <v>3.2189999999999999</v>
      </c>
      <c r="K15" s="77">
        <v>1.915</v>
      </c>
      <c r="L15" s="77">
        <v>1.74</v>
      </c>
      <c r="M15" s="78"/>
      <c r="N15" s="77">
        <f t="shared" si="1"/>
        <v>12.936000000000002</v>
      </c>
      <c r="O15" s="78"/>
      <c r="P15" s="77">
        <v>0.59099999999999997</v>
      </c>
      <c r="Q15" s="77">
        <v>0.26</v>
      </c>
      <c r="R15" s="77">
        <v>0.29099999999999998</v>
      </c>
      <c r="S15" s="77">
        <v>0.17399999999999999</v>
      </c>
      <c r="U15" s="77">
        <f t="shared" si="2"/>
        <v>1.3159999999999998</v>
      </c>
      <c r="W15" s="277">
        <v>0.14099999999999999</v>
      </c>
      <c r="X15" s="277">
        <v>0.224</v>
      </c>
      <c r="Y15" s="277">
        <v>0.24</v>
      </c>
      <c r="Z15" s="277">
        <v>0.16900000000000001</v>
      </c>
      <c r="AA15" s="73"/>
      <c r="AB15" s="77">
        <f t="shared" si="3"/>
        <v>0.77400000000000002</v>
      </c>
      <c r="AD15" s="277">
        <v>0</v>
      </c>
      <c r="AE15" s="277">
        <v>0</v>
      </c>
      <c r="AF15" s="277">
        <v>0</v>
      </c>
      <c r="AH15" s="77">
        <f t="shared" si="4"/>
        <v>0</v>
      </c>
    </row>
    <row r="16" spans="1:34" s="51" customFormat="1" ht="16.75">
      <c r="A16" s="51" t="s">
        <v>160</v>
      </c>
      <c r="B16" s="77">
        <f>-'Operating Expenses'!B30</f>
        <v>0</v>
      </c>
      <c r="C16" s="77">
        <f>-'Operating Expenses'!C30</f>
        <v>0</v>
      </c>
      <c r="D16" s="77">
        <f>-'Operating Expenses'!D30</f>
        <v>0.185</v>
      </c>
      <c r="E16" s="77">
        <f>-'Operating Expenses'!E30</f>
        <v>2.2149999999999999</v>
      </c>
      <c r="F16" s="78"/>
      <c r="G16" s="77">
        <f t="shared" si="0"/>
        <v>2.4</v>
      </c>
      <c r="H16" s="78"/>
      <c r="I16" s="77">
        <v>1.6E-2</v>
      </c>
      <c r="J16" s="77">
        <v>1.468</v>
      </c>
      <c r="K16" s="77">
        <v>0.53900000000000003</v>
      </c>
      <c r="L16" s="77">
        <v>7.7709999999999999</v>
      </c>
      <c r="M16" s="78"/>
      <c r="N16" s="77">
        <f t="shared" si="1"/>
        <v>9.7940000000000005</v>
      </c>
      <c r="O16" s="78"/>
      <c r="P16" s="77">
        <v>5.548</v>
      </c>
      <c r="Q16" s="77">
        <v>1.5580000000000001</v>
      </c>
      <c r="R16" s="77">
        <v>0.72499999999999998</v>
      </c>
      <c r="S16" s="77">
        <v>0.44800000000000001</v>
      </c>
      <c r="T16" s="50"/>
      <c r="U16" s="77">
        <f t="shared" si="2"/>
        <v>8.2789999999999999</v>
      </c>
      <c r="W16" s="277">
        <v>0.28799999999999998</v>
      </c>
      <c r="X16" s="277">
        <v>4.8760000000000003</v>
      </c>
      <c r="Y16" s="277">
        <v>9.8000000000000004E-2</v>
      </c>
      <c r="Z16" s="277">
        <v>0.14499999999999999</v>
      </c>
      <c r="AA16" s="73"/>
      <c r="AB16" s="77">
        <f t="shared" si="3"/>
        <v>5.407</v>
      </c>
      <c r="AD16" s="277">
        <v>0</v>
      </c>
      <c r="AE16" s="277">
        <v>0</v>
      </c>
      <c r="AF16" s="277">
        <v>0</v>
      </c>
      <c r="AH16" s="77">
        <f t="shared" si="4"/>
        <v>0</v>
      </c>
    </row>
    <row r="17" spans="1:34" s="51" customFormat="1" ht="16.75">
      <c r="A17" s="51" t="s">
        <v>153</v>
      </c>
      <c r="B17" s="77"/>
      <c r="C17" s="77"/>
      <c r="D17" s="77"/>
      <c r="E17" s="77">
        <v>0</v>
      </c>
      <c r="F17" s="78">
        <v>0</v>
      </c>
      <c r="G17" s="77">
        <v>0</v>
      </c>
      <c r="H17" s="78"/>
      <c r="I17" s="49">
        <v>0</v>
      </c>
      <c r="J17" s="49">
        <v>0.54200000000000004</v>
      </c>
      <c r="K17" s="49">
        <v>0.03</v>
      </c>
      <c r="L17" s="49">
        <v>0.66400000000000003</v>
      </c>
      <c r="M17" s="78"/>
      <c r="N17" s="77">
        <f t="shared" si="1"/>
        <v>1.2360000000000002</v>
      </c>
      <c r="O17" s="78"/>
      <c r="P17" s="49">
        <v>1.4830000000000001</v>
      </c>
      <c r="Q17" s="49">
        <v>0.94799999999999995</v>
      </c>
      <c r="R17" s="49">
        <v>1.095</v>
      </c>
      <c r="S17" s="49">
        <v>0.93100000000000005</v>
      </c>
      <c r="T17" s="50"/>
      <c r="U17" s="77">
        <f t="shared" si="2"/>
        <v>4.4569999999999999</v>
      </c>
      <c r="W17" s="278">
        <v>2.7789999999999999</v>
      </c>
      <c r="X17" s="278">
        <v>13.747999999999999</v>
      </c>
      <c r="Y17" s="278">
        <v>1.9370000000000001</v>
      </c>
      <c r="Z17" s="278">
        <v>1.405</v>
      </c>
      <c r="AA17" s="73"/>
      <c r="AB17" s="77">
        <f t="shared" si="3"/>
        <v>19.869000000000003</v>
      </c>
      <c r="AD17" s="278">
        <v>0</v>
      </c>
      <c r="AE17" s="278">
        <v>0</v>
      </c>
      <c r="AF17" s="278">
        <v>0</v>
      </c>
      <c r="AH17" s="77">
        <f t="shared" si="4"/>
        <v>0</v>
      </c>
    </row>
    <row r="18" spans="1:34" s="51" customFormat="1" ht="16.75">
      <c r="A18" s="48" t="s">
        <v>115</v>
      </c>
      <c r="B18" s="77">
        <v>0</v>
      </c>
      <c r="C18" s="77">
        <v>0</v>
      </c>
      <c r="D18" s="77">
        <v>0.14499999999999999</v>
      </c>
      <c r="E18" s="77">
        <v>0</v>
      </c>
      <c r="F18" s="78"/>
      <c r="G18" s="77">
        <f t="shared" si="0"/>
        <v>0.14499999999999999</v>
      </c>
      <c r="H18" s="78"/>
      <c r="I18" s="77">
        <v>0</v>
      </c>
      <c r="J18" s="77">
        <v>0</v>
      </c>
      <c r="K18" s="77">
        <v>0.373</v>
      </c>
      <c r="L18" s="77">
        <v>1.2629999999999999</v>
      </c>
      <c r="M18" s="78"/>
      <c r="N18" s="77">
        <f t="shared" si="1"/>
        <v>1.6359999999999999</v>
      </c>
      <c r="O18" s="78"/>
      <c r="P18" s="77">
        <v>0</v>
      </c>
      <c r="Q18" s="77">
        <v>1.7989999999999999</v>
      </c>
      <c r="R18" s="77">
        <v>0</v>
      </c>
      <c r="S18" s="77">
        <v>0</v>
      </c>
      <c r="T18" s="50"/>
      <c r="U18" s="77">
        <f t="shared" si="2"/>
        <v>1.7989999999999999</v>
      </c>
      <c r="W18" s="277">
        <v>0</v>
      </c>
      <c r="X18" s="277">
        <v>0</v>
      </c>
      <c r="Y18" s="277">
        <v>0</v>
      </c>
      <c r="Z18" s="277">
        <v>0</v>
      </c>
      <c r="AA18" s="73"/>
      <c r="AB18" s="77">
        <f t="shared" si="3"/>
        <v>0</v>
      </c>
      <c r="AD18" s="277">
        <v>0</v>
      </c>
      <c r="AE18" s="277">
        <v>0</v>
      </c>
      <c r="AF18" s="277">
        <v>0</v>
      </c>
      <c r="AH18" s="77">
        <f t="shared" si="4"/>
        <v>0</v>
      </c>
    </row>
    <row r="19" spans="1:34" s="51" customFormat="1" ht="16.75">
      <c r="A19" s="48" t="s">
        <v>166</v>
      </c>
      <c r="B19" s="78">
        <v>0.10100000000000001</v>
      </c>
      <c r="C19" s="78">
        <v>-0.88900000000000001</v>
      </c>
      <c r="D19" s="78">
        <v>8.5000000000000006E-2</v>
      </c>
      <c r="E19" s="78">
        <v>0.28000000000000003</v>
      </c>
      <c r="F19" s="78"/>
      <c r="G19" s="78">
        <f t="shared" si="0"/>
        <v>-0.42300000000000004</v>
      </c>
      <c r="H19" s="78"/>
      <c r="I19" s="78">
        <v>4.3999999999999997E-2</v>
      </c>
      <c r="J19" s="78">
        <f>0.605-J17</f>
        <v>6.2999999999999945E-2</v>
      </c>
      <c r="K19" s="78">
        <f>-0.037-K17</f>
        <v>-6.7000000000000004E-2</v>
      </c>
      <c r="L19" s="78">
        <f>2.02-L18-L17+0.002</f>
        <v>9.5000000000000084E-2</v>
      </c>
      <c r="M19" s="78"/>
      <c r="N19" s="78">
        <f t="shared" si="1"/>
        <v>0.13500000000000001</v>
      </c>
      <c r="O19" s="78"/>
      <c r="P19" s="78">
        <f>2.034-P17</f>
        <v>0.55099999999999971</v>
      </c>
      <c r="Q19" s="78">
        <f>2.058-Q17</f>
        <v>1.1099999999999999</v>
      </c>
      <c r="R19" s="78">
        <f>2.012-R17</f>
        <v>0.91700000000000004</v>
      </c>
      <c r="S19" s="78">
        <v>0.45200000000000001</v>
      </c>
      <c r="T19" s="50"/>
      <c r="U19" s="78">
        <f>SUM(P19:T19)</f>
        <v>3.0299999999999994</v>
      </c>
      <c r="W19" s="278">
        <v>3.4000000000000002E-2</v>
      </c>
      <c r="X19" s="278">
        <v>0.17699999999999999</v>
      </c>
      <c r="Y19" s="278">
        <v>1E-3</v>
      </c>
      <c r="Z19" s="278">
        <v>8.9999999999999993E-3</v>
      </c>
      <c r="AA19" s="73"/>
      <c r="AB19" s="78">
        <f t="shared" si="3"/>
        <v>0.221</v>
      </c>
      <c r="AD19" s="278">
        <v>0.109</v>
      </c>
      <c r="AE19" s="278">
        <v>9.9000000000000005E-2</v>
      </c>
      <c r="AF19" s="278">
        <v>0.108</v>
      </c>
      <c r="AH19" s="78">
        <f t="shared" si="4"/>
        <v>0.316</v>
      </c>
    </row>
    <row r="20" spans="1:34" s="51" customFormat="1" ht="16.75">
      <c r="A20" s="48" t="s">
        <v>116</v>
      </c>
      <c r="B20" s="78">
        <v>13.512</v>
      </c>
      <c r="C20" s="78">
        <v>10.646000000000001</v>
      </c>
      <c r="D20" s="78">
        <v>13.016</v>
      </c>
      <c r="E20" s="78">
        <v>13.722</v>
      </c>
      <c r="F20" s="78"/>
      <c r="G20" s="78">
        <f t="shared" si="0"/>
        <v>50.896000000000001</v>
      </c>
      <c r="H20" s="78"/>
      <c r="I20" s="78">
        <v>0</v>
      </c>
      <c r="J20" s="78">
        <v>0</v>
      </c>
      <c r="K20" s="78">
        <v>0</v>
      </c>
      <c r="L20" s="214">
        <v>0</v>
      </c>
      <c r="M20" s="78"/>
      <c r="N20" s="78">
        <f t="shared" si="1"/>
        <v>0</v>
      </c>
      <c r="O20" s="78"/>
      <c r="P20" s="78">
        <v>0</v>
      </c>
      <c r="Q20" s="78">
        <v>0</v>
      </c>
      <c r="R20" s="78">
        <v>0</v>
      </c>
      <c r="S20" s="78">
        <v>0</v>
      </c>
      <c r="U20" s="78">
        <v>0</v>
      </c>
      <c r="W20" s="78">
        <v>0</v>
      </c>
      <c r="X20" s="78">
        <v>0</v>
      </c>
      <c r="Y20" s="78">
        <v>0</v>
      </c>
      <c r="Z20" s="78">
        <v>0</v>
      </c>
      <c r="AB20" s="78">
        <f t="shared" si="3"/>
        <v>0</v>
      </c>
      <c r="AD20" s="78">
        <v>0</v>
      </c>
      <c r="AE20" s="78">
        <v>0</v>
      </c>
      <c r="AF20" s="78">
        <v>0</v>
      </c>
      <c r="AH20" s="78">
        <f t="shared" si="4"/>
        <v>0</v>
      </c>
    </row>
    <row r="21" spans="1:34" s="51" customFormat="1" ht="16.75">
      <c r="A21" s="48" t="s">
        <v>117</v>
      </c>
      <c r="B21" s="85">
        <v>-1.391</v>
      </c>
      <c r="C21" s="85">
        <v>0.114</v>
      </c>
      <c r="D21" s="85">
        <v>-0.70299999999999996</v>
      </c>
      <c r="E21" s="85">
        <v>-0.745</v>
      </c>
      <c r="F21" s="78"/>
      <c r="G21" s="85">
        <f t="shared" si="0"/>
        <v>-2.7250000000000001</v>
      </c>
      <c r="H21" s="78"/>
      <c r="I21" s="85">
        <v>0</v>
      </c>
      <c r="J21" s="85">
        <v>0</v>
      </c>
      <c r="K21" s="85">
        <v>0</v>
      </c>
      <c r="L21" s="85">
        <v>0</v>
      </c>
      <c r="M21" s="78"/>
      <c r="N21" s="85">
        <f t="shared" si="1"/>
        <v>0</v>
      </c>
      <c r="O21" s="78"/>
      <c r="P21" s="85">
        <v>0</v>
      </c>
      <c r="Q21" s="85">
        <v>0</v>
      </c>
      <c r="R21" s="85">
        <v>0</v>
      </c>
      <c r="S21" s="85">
        <v>0</v>
      </c>
      <c r="U21" s="85">
        <v>0</v>
      </c>
      <c r="W21" s="85">
        <v>0</v>
      </c>
      <c r="X21" s="85">
        <v>0</v>
      </c>
      <c r="Y21" s="85">
        <v>0</v>
      </c>
      <c r="Z21" s="85">
        <v>0</v>
      </c>
      <c r="AB21" s="85">
        <f t="shared" si="3"/>
        <v>0</v>
      </c>
      <c r="AD21" s="85">
        <v>0</v>
      </c>
      <c r="AE21" s="85">
        <v>0</v>
      </c>
      <c r="AF21" s="85">
        <v>0</v>
      </c>
      <c r="AH21" s="85">
        <f>SUM(AD21:AF21)</f>
        <v>0</v>
      </c>
    </row>
    <row r="22" spans="1:34" s="51" customFormat="1" ht="16.75">
      <c r="A22" s="80" t="s">
        <v>167</v>
      </c>
      <c r="B22" s="55">
        <f>SUM(B9:B21)+B6</f>
        <v>37.452000000000005</v>
      </c>
      <c r="C22" s="55">
        <f>SUM(C9:C21)+C6</f>
        <v>63.605000000000032</v>
      </c>
      <c r="D22" s="55">
        <f>SUM(D9:D21)+D6</f>
        <v>63.393000000000001</v>
      </c>
      <c r="E22" s="55">
        <f>SUM(E9:E21)+E6</f>
        <v>57.05499999999995</v>
      </c>
      <c r="F22" s="128"/>
      <c r="G22" s="55">
        <f t="shared" si="0"/>
        <v>221.505</v>
      </c>
      <c r="H22" s="128"/>
      <c r="I22" s="55">
        <f>SUM(I9:I21)+I6</f>
        <v>42.64800000000001</v>
      </c>
      <c r="J22" s="55">
        <f>SUM(J9:J21)+J6</f>
        <v>51.79</v>
      </c>
      <c r="K22" s="55">
        <f>SUM(K9:K21)+K6</f>
        <v>61.459999999999994</v>
      </c>
      <c r="L22" s="55">
        <f>SUM(L9:L21)+L6</f>
        <v>51.320999999999998</v>
      </c>
      <c r="M22" s="128"/>
      <c r="N22" s="55">
        <f t="shared" si="1"/>
        <v>207.21900000000002</v>
      </c>
      <c r="O22" s="128"/>
      <c r="P22" s="55">
        <f>SUM(P9:P21)+P6</f>
        <v>43.83900000000002</v>
      </c>
      <c r="Q22" s="55">
        <f>SUM(Q9:Q21)+Q6</f>
        <v>47.673000000000023</v>
      </c>
      <c r="R22" s="55">
        <f>SUM(R9:R21)+R6</f>
        <v>58.595999999999975</v>
      </c>
      <c r="S22" s="55">
        <f>SUM(S9:S21)+S6</f>
        <v>61.71100000000002</v>
      </c>
      <c r="T22" s="216"/>
      <c r="U22" s="55">
        <f>SUM(P22:T22)</f>
        <v>211.81900000000002</v>
      </c>
      <c r="V22" s="216"/>
      <c r="W22" s="55">
        <f>SUM(W9:W21)+W6</f>
        <v>45.129999999999953</v>
      </c>
      <c r="X22" s="55">
        <f>SUM(X9:X21)+X6</f>
        <v>40.861999999999981</v>
      </c>
      <c r="Y22" s="55">
        <f>SUM(Y9:Y21)+Y6</f>
        <v>53.562999999999946</v>
      </c>
      <c r="Z22" s="55">
        <f>SUM(Z9:Z21)+Z6</f>
        <v>83.091000000000051</v>
      </c>
      <c r="AB22" s="55">
        <f>SUM(AB9:AB21)+AB6</f>
        <v>222.64599999999993</v>
      </c>
      <c r="AC22" s="216"/>
      <c r="AD22" s="55">
        <f>SUM(AD9:AD21)+AD6</f>
        <v>49.981999999999999</v>
      </c>
      <c r="AE22" s="55">
        <f>SUM(AE9:AE21)+AE6</f>
        <v>44.252999999999993</v>
      </c>
      <c r="AF22" s="55">
        <f>SUM(AF9:AF21)+AF6</f>
        <v>46.915999999999997</v>
      </c>
      <c r="AH22" s="55">
        <f>SUM(AH9:AH21)+AH6</f>
        <v>141.15100000000001</v>
      </c>
    </row>
    <row r="23" spans="1:34" s="51" customFormat="1" ht="16.75">
      <c r="A23" s="80" t="s">
        <v>168</v>
      </c>
      <c r="B23" s="129">
        <v>0.19800000000000001</v>
      </c>
      <c r="C23" s="129">
        <v>0.307</v>
      </c>
      <c r="D23" s="129">
        <v>0.29199999999999998</v>
      </c>
      <c r="E23" s="129">
        <v>0.251</v>
      </c>
      <c r="F23" s="154"/>
      <c r="G23" s="129">
        <v>0.26400000000000001</v>
      </c>
      <c r="H23" s="154"/>
      <c r="I23" s="129">
        <v>0.21099999999999999</v>
      </c>
      <c r="J23" s="129">
        <v>0.24</v>
      </c>
      <c r="K23" s="129">
        <v>0.27100000000000002</v>
      </c>
      <c r="L23" s="129">
        <v>0.217</v>
      </c>
      <c r="M23" s="154"/>
      <c r="N23" s="129">
        <v>0.23499999999999999</v>
      </c>
      <c r="O23" s="154"/>
      <c r="P23" s="129">
        <v>0.2</v>
      </c>
      <c r="Q23" s="129">
        <v>0.21299999999999999</v>
      </c>
      <c r="R23" s="129">
        <v>0.26</v>
      </c>
      <c r="S23" s="129">
        <v>0.26100000000000001</v>
      </c>
      <c r="U23" s="129">
        <v>0.23400000000000001</v>
      </c>
      <c r="W23" s="129">
        <v>0.20799999999999999</v>
      </c>
      <c r="X23" s="129">
        <v>0.19400000000000001</v>
      </c>
      <c r="Y23" s="129">
        <v>0.245</v>
      </c>
      <c r="Z23" s="129">
        <v>0.313</v>
      </c>
      <c r="AA23" s="79"/>
      <c r="AB23" s="129">
        <v>0.24399999999999999</v>
      </c>
      <c r="AD23" s="129">
        <v>0.22600000000000001</v>
      </c>
      <c r="AE23" s="129">
        <v>0.21099999999999999</v>
      </c>
      <c r="AF23" s="129">
        <v>0.20899999999999999</v>
      </c>
      <c r="AH23" s="129">
        <v>0.215</v>
      </c>
    </row>
    <row r="24" spans="1:34" s="51" customFormat="1" ht="16.75">
      <c r="A24" s="80"/>
      <c r="B24" s="55"/>
      <c r="C24" s="55"/>
      <c r="D24" s="55"/>
      <c r="E24" s="55"/>
      <c r="F24" s="128"/>
      <c r="G24" s="55"/>
      <c r="H24" s="128"/>
      <c r="I24" s="55"/>
      <c r="J24" s="55"/>
      <c r="K24" s="55"/>
      <c r="L24" s="55"/>
      <c r="M24" s="128"/>
      <c r="N24" s="55"/>
      <c r="O24" s="128"/>
      <c r="P24" s="55"/>
      <c r="Q24" s="55"/>
      <c r="R24" s="55"/>
      <c r="S24" s="55"/>
      <c r="U24" s="55"/>
      <c r="AB24" s="55"/>
      <c r="AH24" s="55"/>
    </row>
    <row r="25" spans="1:34">
      <c r="A25" s="37"/>
    </row>
    <row r="26" spans="1:34">
      <c r="A26" s="37"/>
    </row>
    <row r="27" spans="1:34">
      <c r="A27" s="37"/>
    </row>
    <row r="28" spans="1:34">
      <c r="A28" s="37"/>
    </row>
    <row r="29" spans="1:34">
      <c r="A29" s="37"/>
    </row>
    <row r="30" spans="1:34">
      <c r="A30" s="37"/>
    </row>
    <row r="31" spans="1:34">
      <c r="A31" s="37"/>
    </row>
    <row r="32" spans="1:34">
      <c r="A32" s="37"/>
    </row>
    <row r="33" s="37" customFormat="1"/>
    <row r="34" s="37" customFormat="1"/>
    <row r="35" s="37" customFormat="1"/>
    <row r="36" s="37" customFormat="1"/>
    <row r="37" s="37" customFormat="1"/>
    <row r="38" s="37" customFormat="1"/>
    <row r="39" s="37" customFormat="1"/>
    <row r="40" s="37" customFormat="1"/>
    <row r="41" s="37" customFormat="1"/>
    <row r="42" s="37" customFormat="1"/>
    <row r="43" s="37" customFormat="1"/>
    <row r="44" s="37" customFormat="1"/>
    <row r="45" s="37" customFormat="1"/>
    <row r="46" s="37" customFormat="1"/>
    <row r="47" s="37" customFormat="1"/>
    <row r="48" s="37" customFormat="1"/>
    <row r="49" s="37" customFormat="1"/>
    <row r="50" s="37" customFormat="1"/>
    <row r="51" s="37" customFormat="1"/>
    <row r="52" s="37" customFormat="1"/>
    <row r="53" s="37" customFormat="1"/>
    <row r="54" s="37" customFormat="1"/>
    <row r="55" s="37" customFormat="1"/>
    <row r="56" s="37" customFormat="1"/>
    <row r="57" s="37" customFormat="1"/>
    <row r="58" s="37" customFormat="1"/>
    <row r="59" s="37" customFormat="1"/>
    <row r="60" s="37" customFormat="1"/>
    <row r="61" s="37" customFormat="1"/>
    <row r="62" s="37" customFormat="1"/>
    <row r="63" s="37" customFormat="1"/>
    <row r="64" s="37" customFormat="1"/>
    <row r="65" s="37" customFormat="1"/>
    <row r="66" s="37" customFormat="1"/>
    <row r="67" s="37" customFormat="1"/>
    <row r="68" s="37" customFormat="1"/>
    <row r="69" s="37" customFormat="1"/>
    <row r="70" s="37" customFormat="1"/>
    <row r="71" s="37" customFormat="1"/>
    <row r="72" s="37" customFormat="1"/>
    <row r="73" s="37" customFormat="1"/>
    <row r="74" s="37" customFormat="1"/>
    <row r="75" s="37" customFormat="1"/>
    <row r="76" s="37" customFormat="1"/>
    <row r="77" s="37" customFormat="1"/>
    <row r="78" s="37" customFormat="1"/>
    <row r="79" s="37" customFormat="1"/>
    <row r="80" s="37" customFormat="1"/>
    <row r="81" s="37" customFormat="1"/>
    <row r="82" s="37" customFormat="1"/>
    <row r="83" s="37" customFormat="1"/>
    <row r="84" s="37" customFormat="1"/>
    <row r="85" s="37" customFormat="1"/>
    <row r="86" s="37" customFormat="1"/>
    <row r="87" s="37" customFormat="1"/>
    <row r="88" s="37" customFormat="1"/>
    <row r="89" s="37" customFormat="1"/>
    <row r="90" s="37" customFormat="1"/>
    <row r="91" s="37" customFormat="1"/>
    <row r="92" s="37" customFormat="1"/>
    <row r="93" s="37" customFormat="1"/>
    <row r="94" s="37" customFormat="1"/>
    <row r="95" s="37" customFormat="1"/>
    <row r="9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sheetData>
  <mergeCells count="5">
    <mergeCell ref="B3:E3"/>
    <mergeCell ref="I3:L3"/>
    <mergeCell ref="P3:S3"/>
    <mergeCell ref="W3:Z3"/>
    <mergeCell ref="AD3:AF3"/>
  </mergeCells>
  <pageMargins left="0.25" right="0.25" top="0.75" bottom="0.75" header="0.3" footer="0.3"/>
  <pageSetup scale="5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A5CFB-A52D-4EDF-AF22-180773DB239B}">
  <sheetPr codeName="Sheet11">
    <tabColor rgb="FF0079FF"/>
    <pageSetUpPr fitToPage="1"/>
  </sheetPr>
  <dimension ref="A1:AH117"/>
  <sheetViews>
    <sheetView zoomScale="65" zoomScaleNormal="65" zoomScaleSheetLayoutView="85" workbookViewId="0">
      <pane xSplit="1" ySplit="4" topLeftCell="G5" activePane="bottomRight" state="frozen"/>
      <selection pane="topRight" activeCell="B1" sqref="B1"/>
      <selection pane="bottomLeft" activeCell="A5" sqref="A5"/>
      <selection pane="bottomRight" activeCell="G5" sqref="G5"/>
    </sheetView>
  </sheetViews>
  <sheetFormatPr defaultColWidth="9.1328125" defaultRowHeight="10.5" outlineLevelCol="1"/>
  <cols>
    <col min="1" max="1" width="64.40625" style="60" customWidth="1"/>
    <col min="2" max="5" width="22.1328125" style="37" hidden="1" customWidth="1" outlineLevel="1"/>
    <col min="6" max="6" width="1.40625" style="37" hidden="1" customWidth="1" outlineLevel="1"/>
    <col min="7" max="7" width="22.1328125" style="37" customWidth="1" collapsed="1"/>
    <col min="8" max="8" width="1.40625" style="37" customWidth="1"/>
    <col min="9" max="9" width="20.40625" style="37" hidden="1" customWidth="1" outlineLevel="1"/>
    <col min="10" max="12" width="21.40625" style="37" hidden="1" customWidth="1" outlineLevel="1"/>
    <col min="13" max="13" width="1.40625" style="37" hidden="1" customWidth="1" outlineLevel="1"/>
    <col min="14" max="14" width="20.40625" style="37" customWidth="1" collapsed="1"/>
    <col min="15" max="15" width="1.40625" style="37" customWidth="1"/>
    <col min="16" max="19" width="20.40625" style="37" hidden="1" customWidth="1" outlineLevel="1"/>
    <col min="20" max="20" width="1.40625" style="37" hidden="1" customWidth="1" outlineLevel="1"/>
    <col min="21" max="21" width="20.40625" style="37" customWidth="1" collapsed="1"/>
    <col min="22" max="22" width="3.40625" style="37" customWidth="1"/>
    <col min="23" max="26" width="18.40625" style="37" customWidth="1"/>
    <col min="27" max="27" width="2.40625" style="37" customWidth="1"/>
    <col min="28" max="28" width="20.40625" style="37" customWidth="1"/>
    <col min="29" max="29" width="3.40625" style="37" customWidth="1"/>
    <col min="30" max="32" width="18.40625" style="37" customWidth="1"/>
    <col min="33" max="33" width="1.7265625" style="37" customWidth="1"/>
    <col min="34" max="34" width="20.40625" style="37" customWidth="1"/>
    <col min="35" max="16384" width="9.1328125" style="37"/>
  </cols>
  <sheetData>
    <row r="1" spans="1:34" ht="18">
      <c r="A1" s="5" t="s">
        <v>9</v>
      </c>
    </row>
    <row r="2" spans="1:34">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H2" s="38"/>
    </row>
    <row r="3" spans="1:34" s="7" customFormat="1" ht="30" customHeight="1">
      <c r="A3" s="41"/>
      <c r="B3" s="355" t="s">
        <v>21</v>
      </c>
      <c r="C3" s="355"/>
      <c r="D3" s="355"/>
      <c r="E3" s="355"/>
      <c r="F3" s="138"/>
      <c r="G3" s="40" t="s">
        <v>22</v>
      </c>
      <c r="H3" s="138"/>
      <c r="I3" s="355" t="s">
        <v>21</v>
      </c>
      <c r="J3" s="355"/>
      <c r="K3" s="355"/>
      <c r="L3" s="355"/>
      <c r="M3" s="138"/>
      <c r="N3" s="40" t="s">
        <v>22</v>
      </c>
      <c r="O3" s="138"/>
      <c r="P3" s="355" t="s">
        <v>21</v>
      </c>
      <c r="Q3" s="355"/>
      <c r="R3" s="355"/>
      <c r="S3" s="355"/>
      <c r="U3" s="40" t="s">
        <v>22</v>
      </c>
      <c r="W3" s="355" t="s">
        <v>21</v>
      </c>
      <c r="X3" s="355"/>
      <c r="Y3" s="355"/>
      <c r="Z3" s="355"/>
      <c r="AB3" s="40" t="s">
        <v>22</v>
      </c>
      <c r="AD3" s="355" t="s">
        <v>21</v>
      </c>
      <c r="AE3" s="355"/>
      <c r="AF3" s="355"/>
      <c r="AH3" s="40" t="s">
        <v>320</v>
      </c>
    </row>
    <row r="4" spans="1:34" s="7" customFormat="1" ht="30" customHeight="1">
      <c r="A4" s="41" t="s">
        <v>24</v>
      </c>
      <c r="B4" s="42" t="s">
        <v>80</v>
      </c>
      <c r="C4" s="42" t="s">
        <v>81</v>
      </c>
      <c r="D4" s="42" t="s">
        <v>82</v>
      </c>
      <c r="E4" s="42" t="s">
        <v>83</v>
      </c>
      <c r="F4" s="139"/>
      <c r="G4" s="42" t="s">
        <v>83</v>
      </c>
      <c r="H4" s="139"/>
      <c r="I4" s="42" t="s">
        <v>84</v>
      </c>
      <c r="J4" s="42" t="s">
        <v>85</v>
      </c>
      <c r="K4" s="42" t="s">
        <v>86</v>
      </c>
      <c r="L4" s="42" t="s">
        <v>87</v>
      </c>
      <c r="M4" s="139"/>
      <c r="N4" s="42" t="s">
        <v>87</v>
      </c>
      <c r="O4" s="139"/>
      <c r="P4" s="42" t="s">
        <v>88</v>
      </c>
      <c r="Q4" s="42" t="s">
        <v>89</v>
      </c>
      <c r="R4" s="42" t="s">
        <v>90</v>
      </c>
      <c r="S4" s="42" t="s">
        <v>91</v>
      </c>
      <c r="U4" s="42" t="s">
        <v>91</v>
      </c>
      <c r="W4" s="42" t="s">
        <v>23</v>
      </c>
      <c r="X4" s="42" t="s">
        <v>92</v>
      </c>
      <c r="Y4" s="42" t="s">
        <v>93</v>
      </c>
      <c r="Z4" s="42" t="s">
        <v>94</v>
      </c>
      <c r="AB4" s="42" t="s">
        <v>94</v>
      </c>
      <c r="AD4" s="42" t="s">
        <v>95</v>
      </c>
      <c r="AE4" s="42" t="s">
        <v>309</v>
      </c>
      <c r="AF4" s="42" t="s">
        <v>319</v>
      </c>
      <c r="AH4" s="42" t="s">
        <v>319</v>
      </c>
    </row>
    <row r="5" spans="1:34" s="51" customFormat="1" ht="16.75">
      <c r="A5" s="70"/>
    </row>
    <row r="6" spans="1:34" s="51" customFormat="1" ht="16.75">
      <c r="A6" s="44" t="s">
        <v>169</v>
      </c>
      <c r="B6" s="45">
        <v>-14.417999999999999</v>
      </c>
      <c r="C6" s="45">
        <v>-9.3699999999999992</v>
      </c>
      <c r="D6" s="45">
        <v>-2.101</v>
      </c>
      <c r="E6" s="45">
        <v>-22.712</v>
      </c>
      <c r="F6" s="136"/>
      <c r="G6" s="45">
        <f>+B6+C6+D6+E6</f>
        <v>-48.600999999999999</v>
      </c>
      <c r="H6" s="136"/>
      <c r="I6" s="201">
        <v>1.0940000000000001</v>
      </c>
      <c r="J6" s="201">
        <v>5.3159999999999998</v>
      </c>
      <c r="K6" s="201">
        <v>13.500999999999999</v>
      </c>
      <c r="L6" s="201">
        <v>-4.26</v>
      </c>
      <c r="M6" s="136"/>
      <c r="N6" s="201">
        <f>+I6+J6+K6+L6</f>
        <v>15.651000000000002</v>
      </c>
      <c r="O6" s="136"/>
      <c r="P6" s="201">
        <v>0.57399999999999995</v>
      </c>
      <c r="Q6" s="201">
        <v>-2.2360000000000002</v>
      </c>
      <c r="R6" s="201">
        <v>4.226</v>
      </c>
      <c r="S6" s="201">
        <v>13.095000000000001</v>
      </c>
      <c r="T6" s="83"/>
      <c r="U6" s="201">
        <f>SUM(P6:T6)</f>
        <v>15.659000000000001</v>
      </c>
      <c r="V6" s="83"/>
      <c r="W6" s="201">
        <v>3.6339999999999999</v>
      </c>
      <c r="X6" s="201">
        <v>-5.7880000000000003</v>
      </c>
      <c r="Y6" s="201">
        <v>12.865</v>
      </c>
      <c r="Z6" s="201">
        <v>28.922999999999998</v>
      </c>
      <c r="AA6" s="83"/>
      <c r="AB6" s="201">
        <f>+W6+X6+Y6+Z6</f>
        <v>39.634</v>
      </c>
      <c r="AC6" s="83"/>
      <c r="AD6" s="201">
        <v>15.379</v>
      </c>
      <c r="AE6" s="201">
        <v>5.7229999999999999</v>
      </c>
      <c r="AF6" s="201">
        <v>29.016999999999999</v>
      </c>
      <c r="AH6" s="201">
        <f>SUM(AD6:AF6)</f>
        <v>50.119</v>
      </c>
    </row>
    <row r="7" spans="1:34" s="51" customFormat="1" ht="16.75">
      <c r="A7" s="44" t="s">
        <v>170</v>
      </c>
      <c r="B7" s="79">
        <f>B6/'Revenue Metrics Reconciliation'!C13</f>
        <v>-7.7572431603583236E-2</v>
      </c>
      <c r="C7" s="79">
        <f>C6/'Revenue Metrics Reconciliation'!D13</f>
        <v>-4.5913367306938457E-2</v>
      </c>
      <c r="D7" s="79">
        <f>D6/'Revenue Metrics Reconciliation'!E13</f>
        <v>-9.7620131770915601E-3</v>
      </c>
      <c r="E7" s="79">
        <f>E6/'Revenue Metrics Reconciliation'!F13</f>
        <v>-0.10090634441087612</v>
      </c>
      <c r="F7" s="154"/>
      <c r="G7" s="79">
        <f>G6/'Revenue Metrics Reconciliation'!H13</f>
        <v>-5.8538001341769369E-2</v>
      </c>
      <c r="H7" s="154"/>
      <c r="I7" s="79">
        <f>I6/'Revenue Metrics Reconciliation'!J13</f>
        <v>5.4453868514315303E-3</v>
      </c>
      <c r="J7" s="79">
        <f>J6/'Revenue Metrics Reconciliation'!K13</f>
        <v>2.476970603447071E-2</v>
      </c>
      <c r="K7" s="79">
        <f>K6/'Revenue Metrics Reconciliation'!L13</f>
        <v>6.0052486433591318E-2</v>
      </c>
      <c r="L7" s="79">
        <f>L6/'Revenue Metrics Reconciliation'!M13</f>
        <v>-1.8192067233780872E-2</v>
      </c>
      <c r="M7" s="154"/>
      <c r="N7" s="79">
        <f>N6/'Revenue Metrics Reconciliation'!O13</f>
        <v>1.78968998603788E-2</v>
      </c>
      <c r="O7" s="154"/>
      <c r="P7" s="79">
        <f>P6/'Revenue Metrics Reconciliation'!Q13</f>
        <v>2.6341633548410781E-3</v>
      </c>
      <c r="Q7" s="79">
        <f>Q6/'Revenue Metrics Reconciliation'!R13</f>
        <v>-1.0031449221396239E-2</v>
      </c>
      <c r="R7" s="79">
        <f>R6/'Revenue Metrics Reconciliation'!S13</f>
        <v>1.8766125057173181E-2</v>
      </c>
      <c r="S7" s="79">
        <f>S6/'Revenue Metrics Reconciliation'!T13</f>
        <v>5.5429275292384672E-2</v>
      </c>
      <c r="T7" s="55"/>
      <c r="U7" s="79">
        <f>U6/'Revenue Metrics Reconciliation'!V13</f>
        <v>1.7355596318073253E-2</v>
      </c>
      <c r="V7" s="55"/>
      <c r="W7" s="79">
        <f>W6/'Revenue Metrics Reconciliation'!X13</f>
        <v>1.6780103986775392E-2</v>
      </c>
      <c r="X7" s="79">
        <f>X6/'Revenue Metrics Reconciliation'!Y13</f>
        <v>-2.7540265981490737E-2</v>
      </c>
      <c r="Y7" s="79">
        <f>Y6/'Revenue Metrics Reconciliation'!Z13</f>
        <v>5.8866056271648655E-2</v>
      </c>
      <c r="Z7" s="79">
        <f>Z6/'Revenue Metrics Reconciliation'!AA13</f>
        <v>0.10909852174011445</v>
      </c>
      <c r="AA7" s="79"/>
      <c r="AB7" s="79">
        <f>AB6/'Revenue Metrics Reconciliation'!AC13</f>
        <v>4.3535331677627208E-2</v>
      </c>
      <c r="AC7" s="55"/>
      <c r="AD7" s="79">
        <f>AD6/'Constant Currency'!AD8</f>
        <v>6.9501123026794467E-2</v>
      </c>
      <c r="AE7" s="79">
        <f>AE6/'Constant Currency'!AE8</f>
        <v>2.723033734595803E-2</v>
      </c>
      <c r="AF7" s="79">
        <f>AF6/'Constant Currency'!AF8</f>
        <v>0.12942866191183489</v>
      </c>
      <c r="AH7" s="79">
        <f>AH6/'Constant Currency'!AH8</f>
        <v>7.6442864986883047E-2</v>
      </c>
    </row>
    <row r="8" spans="1:34" s="51" customFormat="1" ht="16.75">
      <c r="A8" s="44"/>
      <c r="B8" s="79"/>
      <c r="C8" s="79"/>
      <c r="D8" s="79"/>
      <c r="E8" s="79"/>
      <c r="F8" s="154"/>
      <c r="G8" s="79"/>
      <c r="H8" s="154"/>
      <c r="I8" s="79"/>
      <c r="J8" s="79"/>
      <c r="K8" s="79"/>
      <c r="L8" s="79"/>
      <c r="M8" s="154"/>
      <c r="N8" s="79"/>
      <c r="O8" s="154"/>
      <c r="P8" s="79"/>
      <c r="Q8" s="79"/>
      <c r="R8" s="79"/>
      <c r="S8" s="79"/>
      <c r="T8" s="55"/>
      <c r="U8" s="79"/>
      <c r="V8" s="55"/>
      <c r="W8" s="79"/>
      <c r="X8" s="79"/>
      <c r="Y8" s="79"/>
      <c r="Z8" s="79"/>
      <c r="AA8" s="55"/>
      <c r="AB8" s="79"/>
      <c r="AC8" s="55"/>
      <c r="AD8" s="79"/>
      <c r="AE8" s="79"/>
      <c r="AF8" s="79"/>
      <c r="AH8" s="79"/>
    </row>
    <row r="9" spans="1:34" s="51" customFormat="1" ht="16.75">
      <c r="A9" s="48" t="s">
        <v>171</v>
      </c>
      <c r="B9" s="49">
        <f>'Other Expense, Tax &amp; NI'!B18</f>
        <v>0.34699999999999998</v>
      </c>
      <c r="C9" s="49">
        <f>'Other Expense, Tax &amp; NI'!C18</f>
        <v>8.3450000000000006</v>
      </c>
      <c r="D9" s="49">
        <v>1.0840000000000001</v>
      </c>
      <c r="E9" s="49">
        <v>-2.839</v>
      </c>
      <c r="F9" s="140"/>
      <c r="G9" s="49">
        <f t="shared" ref="G9:G22" si="0">+B9+C9+D9+E9</f>
        <v>6.9369999999999994</v>
      </c>
      <c r="H9" s="140"/>
      <c r="I9" s="49">
        <f>'Other Expense, Tax &amp; NI'!I18</f>
        <v>-7.1999999999999995E-2</v>
      </c>
      <c r="J9" s="49">
        <f>'Other Expense, Tax &amp; NI'!J18</f>
        <v>4.2009999999999996</v>
      </c>
      <c r="K9" s="49">
        <f>'Other Expense, Tax &amp; NI'!K18</f>
        <v>9.3490000000000002</v>
      </c>
      <c r="L9" s="49">
        <v>10.375</v>
      </c>
      <c r="M9" s="140"/>
      <c r="N9" s="49">
        <f t="shared" ref="N9:N22" si="1">+I9+J9+K9+L9</f>
        <v>23.853000000000002</v>
      </c>
      <c r="O9" s="140"/>
      <c r="P9" s="49">
        <v>0.29599999999999999</v>
      </c>
      <c r="Q9" s="49">
        <v>2.8479999999999999</v>
      </c>
      <c r="R9" s="49">
        <v>17.395</v>
      </c>
      <c r="S9" s="49">
        <v>18.564</v>
      </c>
      <c r="T9" s="55"/>
      <c r="U9" s="49">
        <f t="shared" ref="U9:U18" si="2">SUM(P9:T9)</f>
        <v>39.102999999999994</v>
      </c>
      <c r="V9" s="55"/>
      <c r="W9" s="49">
        <v>4.3630000000000004</v>
      </c>
      <c r="X9" s="49">
        <v>-2.544</v>
      </c>
      <c r="Y9" s="49">
        <v>12.952999999999999</v>
      </c>
      <c r="Z9" s="49">
        <v>6.8659999999999997</v>
      </c>
      <c r="AA9" s="55"/>
      <c r="AB9" s="49">
        <f t="shared" ref="AB9:AB22" si="3">+W9+X9+Y9+Z9</f>
        <v>21.637999999999998</v>
      </c>
      <c r="AC9" s="55"/>
      <c r="AD9" s="49">
        <v>7.9550000000000001</v>
      </c>
      <c r="AE9" s="49">
        <v>4.2539999999999996</v>
      </c>
      <c r="AF9" s="49">
        <v>-10.676</v>
      </c>
      <c r="AH9" s="49">
        <f>SUM(AD9:AF9)</f>
        <v>1.5329999999999995</v>
      </c>
    </row>
    <row r="10" spans="1:34" s="51" customFormat="1" ht="16.75">
      <c r="A10" s="48" t="s">
        <v>172</v>
      </c>
      <c r="B10" s="49">
        <f>-'Other Expense, Tax &amp; NI'!B7</f>
        <v>12.03</v>
      </c>
      <c r="C10" s="49">
        <f>-'Other Expense, Tax &amp; NI'!C7</f>
        <v>22.597999999999999</v>
      </c>
      <c r="D10" s="49">
        <v>21.074000000000002</v>
      </c>
      <c r="E10" s="49">
        <v>43.384</v>
      </c>
      <c r="F10" s="140"/>
      <c r="G10" s="49">
        <f t="shared" si="0"/>
        <v>99.085999999999999</v>
      </c>
      <c r="H10" s="140"/>
      <c r="I10" s="49">
        <f>-'Other Expense, Tax &amp; NI'!I7</f>
        <v>3.42</v>
      </c>
      <c r="J10" s="49">
        <f>-'Other Expense, Tax &amp; NI'!J7</f>
        <v>2.02</v>
      </c>
      <c r="K10" s="49">
        <f>-'Other Expense, Tax &amp; NI'!K7</f>
        <v>1.8180000000000001</v>
      </c>
      <c r="L10" s="49">
        <v>8.1000000000000003E-2</v>
      </c>
      <c r="M10" s="140"/>
      <c r="N10" s="49">
        <f t="shared" si="1"/>
        <v>7.3389999999999995</v>
      </c>
      <c r="O10" s="140"/>
      <c r="P10" s="49">
        <v>-0.372</v>
      </c>
      <c r="Q10" s="49">
        <v>0.89800000000000002</v>
      </c>
      <c r="R10" s="49">
        <v>5.7000000000000002E-2</v>
      </c>
      <c r="S10" s="49">
        <v>2.0110000000000001</v>
      </c>
      <c r="T10" s="55"/>
      <c r="U10" s="49">
        <f t="shared" si="2"/>
        <v>2.5940000000000003</v>
      </c>
      <c r="V10" s="55"/>
      <c r="W10" s="49">
        <v>0.77500000000000002</v>
      </c>
      <c r="X10" s="49">
        <v>0.82</v>
      </c>
      <c r="Y10" s="49">
        <v>0.9</v>
      </c>
      <c r="Z10" s="49">
        <v>4.4180000000000001</v>
      </c>
      <c r="AA10" s="55"/>
      <c r="AB10" s="49">
        <f t="shared" si="3"/>
        <v>6.9130000000000003</v>
      </c>
      <c r="AC10" s="55"/>
      <c r="AD10" s="49">
        <v>1.111</v>
      </c>
      <c r="AE10" s="49">
        <v>3.8929999999999998</v>
      </c>
      <c r="AF10" s="49">
        <v>3.407</v>
      </c>
      <c r="AH10" s="49">
        <f t="shared" ref="AH10:AH15" si="4">SUM(AD10:AF10)</f>
        <v>8.4109999999999996</v>
      </c>
    </row>
    <row r="11" spans="1:34" s="51" customFormat="1" ht="16.75">
      <c r="A11" s="48" t="s">
        <v>173</v>
      </c>
      <c r="B11" s="49">
        <v>19.024999999999999</v>
      </c>
      <c r="C11" s="49">
        <v>18.861000000000001</v>
      </c>
      <c r="D11" s="49">
        <v>18.587</v>
      </c>
      <c r="E11" s="49">
        <v>18.52</v>
      </c>
      <c r="F11" s="140"/>
      <c r="G11" s="49">
        <f t="shared" si="0"/>
        <v>74.992999999999995</v>
      </c>
      <c r="H11" s="140"/>
      <c r="I11" s="49">
        <v>18.280999999999999</v>
      </c>
      <c r="J11" s="49">
        <v>17.829999999999998</v>
      </c>
      <c r="K11" s="49">
        <v>18.585000000000001</v>
      </c>
      <c r="L11" s="49">
        <v>17.882999999999999</v>
      </c>
      <c r="M11" s="140"/>
      <c r="N11" s="49">
        <f t="shared" si="1"/>
        <v>72.578999999999994</v>
      </c>
      <c r="O11" s="140"/>
      <c r="P11" s="49">
        <v>17.399000000000001</v>
      </c>
      <c r="Q11" s="49">
        <v>16.641999999999999</v>
      </c>
      <c r="R11" s="49">
        <v>16.158000000000001</v>
      </c>
      <c r="S11" s="49">
        <v>15.134</v>
      </c>
      <c r="T11" s="55"/>
      <c r="U11" s="49">
        <f t="shared" si="2"/>
        <v>65.332999999999998</v>
      </c>
      <c r="V11" s="55"/>
      <c r="W11" s="49">
        <v>16.856999999999999</v>
      </c>
      <c r="X11" s="49">
        <v>24.663</v>
      </c>
      <c r="Y11" s="49">
        <v>13.874000000000001</v>
      </c>
      <c r="Z11" s="49">
        <v>13.576000000000001</v>
      </c>
      <c r="AA11" s="55"/>
      <c r="AB11" s="49">
        <f t="shared" si="3"/>
        <v>68.97</v>
      </c>
      <c r="AC11" s="55"/>
      <c r="AD11" s="49">
        <v>10.747999999999999</v>
      </c>
      <c r="AE11" s="49">
        <v>10.938000000000001</v>
      </c>
      <c r="AF11" s="49">
        <v>11.221</v>
      </c>
      <c r="AH11" s="49">
        <f t="shared" si="4"/>
        <v>32.906999999999996</v>
      </c>
    </row>
    <row r="12" spans="1:34" s="51" customFormat="1" ht="16.75">
      <c r="A12" s="48" t="s">
        <v>110</v>
      </c>
      <c r="B12" s="49">
        <f>'Revenue Metrics Reconciliation'!C22</f>
        <v>3.2620000000000005</v>
      </c>
      <c r="C12" s="49">
        <f>'Revenue Metrics Reconciliation'!D22</f>
        <v>3.0660000000000309</v>
      </c>
      <c r="D12" s="49">
        <f>'Revenue Metrics Reconciliation'!E22</f>
        <v>2.2270000000000039</v>
      </c>
      <c r="E12" s="49">
        <f>'Revenue Metrics Reconciliation'!F22</f>
        <v>1.7809999999999491</v>
      </c>
      <c r="F12" s="140"/>
      <c r="G12" s="49">
        <f t="shared" si="0"/>
        <v>10.335999999999984</v>
      </c>
      <c r="H12" s="140"/>
      <c r="I12" s="49">
        <f>'Revenue Metrics Reconciliation'!J22</f>
        <v>1.0390000000000157</v>
      </c>
      <c r="J12" s="49">
        <f>'Revenue Metrics Reconciliation'!K22</f>
        <v>1.0130000000000052</v>
      </c>
      <c r="K12" s="49">
        <f>'Revenue Metrics Reconciliation'!L22</f>
        <v>2.1080000000000041</v>
      </c>
      <c r="L12" s="49">
        <f>'Revenue Metrics Reconciliation'!M22</f>
        <v>2.0109999999999957</v>
      </c>
      <c r="M12" s="140"/>
      <c r="N12" s="49">
        <f t="shared" si="1"/>
        <v>6.1710000000000207</v>
      </c>
      <c r="O12" s="140"/>
      <c r="P12" s="49">
        <f>'Revenue Metrics Reconciliation'!Q22</f>
        <v>1.3430000000000177</v>
      </c>
      <c r="Q12" s="49">
        <f>'Revenue Metrics Reconciliation'!R22</f>
        <v>0.73200000000002774</v>
      </c>
      <c r="R12" s="49">
        <v>0.42299999999999999</v>
      </c>
      <c r="S12" s="49">
        <v>0.504</v>
      </c>
      <c r="T12" s="55"/>
      <c r="U12" s="49">
        <f t="shared" si="2"/>
        <v>3.0020000000000455</v>
      </c>
      <c r="V12" s="55"/>
      <c r="W12" s="49">
        <f>'Revenue Metrics Reconciliation'!X22</f>
        <v>0.62699999999995271</v>
      </c>
      <c r="X12" s="49">
        <v>0.24199999999999999</v>
      </c>
      <c r="Y12" s="49">
        <v>0.12</v>
      </c>
      <c r="Z12" s="49">
        <v>0.111</v>
      </c>
      <c r="AA12" s="55"/>
      <c r="AB12" s="49">
        <f t="shared" si="3"/>
        <v>1.0999999999999528</v>
      </c>
      <c r="AC12" s="55"/>
      <c r="AD12" s="49">
        <v>0</v>
      </c>
      <c r="AE12" s="49">
        <v>0</v>
      </c>
      <c r="AF12" s="49">
        <v>0</v>
      </c>
      <c r="AH12" s="49">
        <f t="shared" si="4"/>
        <v>0</v>
      </c>
    </row>
    <row r="13" spans="1:34" s="51" customFormat="1" ht="16.75">
      <c r="A13" s="48" t="s">
        <v>111</v>
      </c>
      <c r="B13" s="77">
        <f>'Operating Margins'!B12</f>
        <v>10.678000000000001</v>
      </c>
      <c r="C13" s="77">
        <f>'Operating Margins'!C12</f>
        <v>13.329000000000001</v>
      </c>
      <c r="D13" s="77">
        <f>'Operating Margins'!D12</f>
        <v>15.529</v>
      </c>
      <c r="E13" s="77">
        <f>'Operating Margins'!E12</f>
        <v>5.6639999999999997</v>
      </c>
      <c r="F13" s="78"/>
      <c r="G13" s="77">
        <f t="shared" si="0"/>
        <v>45.2</v>
      </c>
      <c r="H13" s="78"/>
      <c r="I13" s="77">
        <f>'Operating Margins'!I12</f>
        <v>16.401</v>
      </c>
      <c r="J13" s="77">
        <f>'Operating Margins'!J12</f>
        <v>18.093</v>
      </c>
      <c r="K13" s="77">
        <f>'Operating Margins'!K12</f>
        <v>16.594999999999999</v>
      </c>
      <c r="L13" s="77">
        <f>'Operating Margins'!L12</f>
        <v>14.176</v>
      </c>
      <c r="M13" s="78"/>
      <c r="N13" s="77">
        <f t="shared" si="1"/>
        <v>65.265000000000001</v>
      </c>
      <c r="O13" s="78"/>
      <c r="P13" s="77">
        <f>'Operating Margins'!P12</f>
        <v>18.369</v>
      </c>
      <c r="Q13" s="77">
        <f>'Operating Margins'!Q12</f>
        <v>25.693999999999999</v>
      </c>
      <c r="R13" s="77">
        <f>'Operating Margins'!R12</f>
        <v>19.899000000000001</v>
      </c>
      <c r="S13" s="77">
        <f>'Operating Margins'!S12</f>
        <v>12.151999999999999</v>
      </c>
      <c r="U13" s="77">
        <f t="shared" si="2"/>
        <v>76.114000000000004</v>
      </c>
      <c r="W13" s="77">
        <f>'Operating Margins'!W12</f>
        <v>14.978999999999999</v>
      </c>
      <c r="X13" s="77">
        <v>19.120999999999999</v>
      </c>
      <c r="Y13" s="77">
        <v>16.186</v>
      </c>
      <c r="Z13" s="77">
        <v>17.312999999999999</v>
      </c>
      <c r="AB13" s="77">
        <f t="shared" si="3"/>
        <v>67.59899999999999</v>
      </c>
      <c r="AD13" s="77">
        <v>18.021000000000001</v>
      </c>
      <c r="AE13" s="77">
        <v>23.745999999999999</v>
      </c>
      <c r="AF13" s="77">
        <v>18.079999999999998</v>
      </c>
      <c r="AH13" s="77">
        <f t="shared" si="4"/>
        <v>59.846999999999994</v>
      </c>
    </row>
    <row r="14" spans="1:34" s="51" customFormat="1" ht="16.75">
      <c r="A14" s="58" t="s">
        <v>165</v>
      </c>
      <c r="B14" s="77">
        <f>'Operating Margins'!B13</f>
        <v>-3.3530000000000002</v>
      </c>
      <c r="C14" s="77">
        <f>'Operating Margins'!C13</f>
        <v>3.214</v>
      </c>
      <c r="D14" s="77">
        <f>'Operating Margins'!D13</f>
        <v>0.65800000000000003</v>
      </c>
      <c r="E14" s="77">
        <f>'Operating Margins'!E13</f>
        <v>2.895</v>
      </c>
      <c r="F14" s="78"/>
      <c r="G14" s="77">
        <f t="shared" si="0"/>
        <v>3.4139999999999997</v>
      </c>
      <c r="H14" s="78"/>
      <c r="I14" s="77">
        <f>'Operating Margins'!I13</f>
        <v>1.6930000000000001</v>
      </c>
      <c r="J14" s="77">
        <f>'Operating Margins'!J13</f>
        <v>3.4239999999999999</v>
      </c>
      <c r="K14" s="77">
        <f>'Operating Margins'!K13</f>
        <v>2.8069999999999999</v>
      </c>
      <c r="L14" s="77">
        <f>'Operating Margins'!L13</f>
        <v>2.492</v>
      </c>
      <c r="M14" s="78"/>
      <c r="N14" s="77">
        <f t="shared" si="1"/>
        <v>10.416</v>
      </c>
      <c r="O14" s="78"/>
      <c r="P14" s="77">
        <f>'Operating Margins'!P13</f>
        <v>1.8240000000000001</v>
      </c>
      <c r="Q14" s="77">
        <f>'Operating Margins'!Q13</f>
        <v>3.9E-2</v>
      </c>
      <c r="R14" s="77">
        <f>'Operating Margins'!R13</f>
        <v>1.1719999999999999</v>
      </c>
      <c r="S14" s="77">
        <f>'Operating Margins'!S13</f>
        <v>-1.3460000000000001</v>
      </c>
      <c r="U14" s="77">
        <f t="shared" si="2"/>
        <v>1.6890000000000001</v>
      </c>
      <c r="W14" s="77">
        <f>'Operating Margins'!W13</f>
        <v>7.8150000000000004</v>
      </c>
      <c r="X14" s="77">
        <f>'Operating Margins'!X13</f>
        <v>-1.5389999999999999</v>
      </c>
      <c r="Y14" s="77">
        <f>'Operating Margins'!Y13</f>
        <v>-0.156</v>
      </c>
      <c r="Z14" s="77">
        <v>9.8510000000000009</v>
      </c>
      <c r="AB14" s="77">
        <f t="shared" si="3"/>
        <v>15.971000000000002</v>
      </c>
      <c r="AD14" s="77">
        <v>0.20399999999999999</v>
      </c>
      <c r="AE14" s="77">
        <v>0.879</v>
      </c>
      <c r="AF14" s="77">
        <v>1.2529999999999999</v>
      </c>
      <c r="AH14" s="77">
        <f t="shared" si="4"/>
        <v>2.3359999999999999</v>
      </c>
    </row>
    <row r="15" spans="1:34" s="51" customFormat="1" ht="16.75">
      <c r="A15" s="48" t="s">
        <v>113</v>
      </c>
      <c r="B15" s="77">
        <f>'Operating Margins'!B14</f>
        <v>4.5640000000000001</v>
      </c>
      <c r="C15" s="77">
        <f>'Operating Margins'!C14</f>
        <v>0.64400000000000002</v>
      </c>
      <c r="D15" s="77">
        <f>'Operating Margins'!D14</f>
        <v>0.317</v>
      </c>
      <c r="E15" s="77">
        <f>'Operating Margins'!E14</f>
        <v>1.5760000000000001</v>
      </c>
      <c r="F15" s="78"/>
      <c r="G15" s="77">
        <f t="shared" si="0"/>
        <v>7.1010000000000009</v>
      </c>
      <c r="H15" s="78"/>
      <c r="I15" s="77">
        <f>'Operating Margins'!I14-0.001</f>
        <v>1.238</v>
      </c>
      <c r="J15" s="77">
        <f>'Operating Margins'!J14+0.001</f>
        <v>0.66100000000000014</v>
      </c>
      <c r="K15" s="77">
        <f>0.995-K17-0.026</f>
        <v>0.42999999999999994</v>
      </c>
      <c r="L15" s="77">
        <f>11.367-L17-0.036-0.002</f>
        <v>3.5580000000000012</v>
      </c>
      <c r="M15" s="78"/>
      <c r="N15" s="77">
        <f t="shared" si="1"/>
        <v>5.8870000000000005</v>
      </c>
      <c r="O15" s="78"/>
      <c r="P15" s="77">
        <f>'Operating Margins'!P14-0.068-0.079-0.009</f>
        <v>2.9929999999999999</v>
      </c>
      <c r="Q15" s="77">
        <v>3.7490000000000001</v>
      </c>
      <c r="R15" s="77">
        <v>2.3479999999999999</v>
      </c>
      <c r="S15" s="77">
        <v>5.8490000000000002</v>
      </c>
      <c r="U15" s="77">
        <f t="shared" si="2"/>
        <v>14.939</v>
      </c>
      <c r="W15" s="77">
        <v>1.3240000000000001</v>
      </c>
      <c r="X15" s="77">
        <v>3.2069999999999999</v>
      </c>
      <c r="Y15" s="77">
        <v>0.47599999999999998</v>
      </c>
      <c r="Z15" s="77">
        <v>5.9139999999999997</v>
      </c>
      <c r="AB15" s="77">
        <f t="shared" si="3"/>
        <v>10.920999999999999</v>
      </c>
      <c r="AD15" s="77">
        <v>2.7789999999999999</v>
      </c>
      <c r="AE15" s="77">
        <v>0.99099999999999999</v>
      </c>
      <c r="AF15" s="77">
        <v>1.0580000000000001</v>
      </c>
      <c r="AH15" s="77">
        <f t="shared" si="4"/>
        <v>4.8280000000000003</v>
      </c>
    </row>
    <row r="16" spans="1:34" s="51" customFormat="1" ht="16.75">
      <c r="A16" s="48" t="s">
        <v>114</v>
      </c>
      <c r="B16" s="77">
        <f>'Operating Margins'!B15</f>
        <v>0</v>
      </c>
      <c r="C16" s="77">
        <f>'Operating Margins'!C15</f>
        <v>0</v>
      </c>
      <c r="D16" s="77">
        <f>'Operating Margins'!D15</f>
        <v>0</v>
      </c>
      <c r="E16" s="77">
        <f>'Operating Margins'!E15</f>
        <v>0</v>
      </c>
      <c r="F16" s="78"/>
      <c r="G16" s="77">
        <f t="shared" si="0"/>
        <v>0</v>
      </c>
      <c r="H16" s="78"/>
      <c r="I16" s="77">
        <v>5.6959999999999997</v>
      </c>
      <c r="J16" s="77">
        <v>3.218</v>
      </c>
      <c r="K16" s="77">
        <v>1.915</v>
      </c>
      <c r="L16" s="77">
        <v>1.74</v>
      </c>
      <c r="M16" s="78"/>
      <c r="N16" s="77">
        <f t="shared" si="1"/>
        <v>12.569000000000001</v>
      </c>
      <c r="O16" s="78"/>
      <c r="P16" s="77">
        <v>0.59099999999999997</v>
      </c>
      <c r="Q16" s="77">
        <v>0.26</v>
      </c>
      <c r="R16" s="77">
        <v>0.29099999999999998</v>
      </c>
      <c r="S16" s="77">
        <v>0.17399999999999999</v>
      </c>
      <c r="U16" s="77">
        <f t="shared" si="2"/>
        <v>1.3159999999999998</v>
      </c>
      <c r="W16" s="277">
        <v>0.14099999999999999</v>
      </c>
      <c r="X16" s="277">
        <v>0.224</v>
      </c>
      <c r="Y16" s="277">
        <v>0.24</v>
      </c>
      <c r="Z16" s="277">
        <v>0.16900000000000001</v>
      </c>
      <c r="AA16" s="73"/>
      <c r="AB16" s="77">
        <f t="shared" si="3"/>
        <v>0.77400000000000002</v>
      </c>
      <c r="AD16" s="277">
        <v>0</v>
      </c>
      <c r="AE16" s="277">
        <v>0</v>
      </c>
      <c r="AF16" s="277">
        <v>0</v>
      </c>
      <c r="AH16" s="77">
        <f t="shared" ref="AH16:AH21" si="5">SUM(AD16:AF16)</f>
        <v>0</v>
      </c>
    </row>
    <row r="17" spans="1:34" s="51" customFormat="1" ht="16.75">
      <c r="A17" s="51" t="s">
        <v>160</v>
      </c>
      <c r="B17" s="77">
        <f>'Operating Margins'!B16</f>
        <v>0</v>
      </c>
      <c r="C17" s="77">
        <f>'Operating Margins'!C16</f>
        <v>0</v>
      </c>
      <c r="D17" s="77">
        <f>'Operating Margins'!D16</f>
        <v>0.185</v>
      </c>
      <c r="E17" s="77">
        <f>'Operating Margins'!E16</f>
        <v>2.2149999999999999</v>
      </c>
      <c r="F17" s="77">
        <f>'Operating Margins'!F16</f>
        <v>0</v>
      </c>
      <c r="G17" s="77">
        <f t="shared" si="0"/>
        <v>2.4</v>
      </c>
      <c r="H17" s="77"/>
      <c r="I17" s="77">
        <f>'Operating Margins'!I16</f>
        <v>1.6E-2</v>
      </c>
      <c r="J17" s="77">
        <f>'Operating Margins'!J16</f>
        <v>1.468</v>
      </c>
      <c r="K17" s="77">
        <f>'Operating Margins'!K16</f>
        <v>0.53900000000000003</v>
      </c>
      <c r="L17" s="77">
        <f>'Operating Margins'!L16</f>
        <v>7.7709999999999999</v>
      </c>
      <c r="M17" s="77"/>
      <c r="N17" s="77">
        <f t="shared" si="1"/>
        <v>9.7940000000000005</v>
      </c>
      <c r="O17" s="77"/>
      <c r="P17" s="77">
        <f>'Operating Margins'!P16</f>
        <v>5.548</v>
      </c>
      <c r="Q17" s="77">
        <f>'Operating Margins'!Q16</f>
        <v>1.5580000000000001</v>
      </c>
      <c r="R17" s="77">
        <f>'Operating Margins'!R16</f>
        <v>0.72499999999999998</v>
      </c>
      <c r="S17" s="77">
        <f>'Operating Margins'!S16</f>
        <v>0.44800000000000001</v>
      </c>
      <c r="U17" s="77">
        <f t="shared" si="2"/>
        <v>8.2789999999999999</v>
      </c>
      <c r="W17" s="277">
        <f>'Operating Margins'!W16</f>
        <v>0.28799999999999998</v>
      </c>
      <c r="X17" s="277">
        <f>'Operating Margins'!X16</f>
        <v>4.8760000000000003</v>
      </c>
      <c r="Y17" s="277">
        <v>9.8000000000000004E-2</v>
      </c>
      <c r="Z17" s="277">
        <v>0.14499999999999999</v>
      </c>
      <c r="AA17" s="73"/>
      <c r="AB17" s="77">
        <f t="shared" si="3"/>
        <v>5.407</v>
      </c>
      <c r="AD17" s="277">
        <v>0</v>
      </c>
      <c r="AE17" s="277">
        <v>0</v>
      </c>
      <c r="AF17" s="277">
        <v>0</v>
      </c>
      <c r="AH17" s="77">
        <f t="shared" si="5"/>
        <v>0</v>
      </c>
    </row>
    <row r="18" spans="1:34" s="51" customFormat="1" ht="16.75">
      <c r="A18" s="51" t="s">
        <v>153</v>
      </c>
      <c r="B18" s="77">
        <v>0</v>
      </c>
      <c r="C18" s="77">
        <v>0</v>
      </c>
      <c r="D18" s="77">
        <v>0</v>
      </c>
      <c r="E18" s="77">
        <v>0</v>
      </c>
      <c r="F18" s="77">
        <v>0</v>
      </c>
      <c r="G18" s="77">
        <v>0</v>
      </c>
      <c r="H18" s="77"/>
      <c r="I18" s="49">
        <v>0</v>
      </c>
      <c r="J18" s="49">
        <v>0.54200000000000004</v>
      </c>
      <c r="K18" s="49">
        <v>0.03</v>
      </c>
      <c r="L18" s="49">
        <v>0.66400000000000003</v>
      </c>
      <c r="M18" s="77"/>
      <c r="N18" s="77">
        <f t="shared" si="1"/>
        <v>1.2360000000000002</v>
      </c>
      <c r="O18" s="77"/>
      <c r="P18" s="49">
        <v>1.4830000000000001</v>
      </c>
      <c r="Q18" s="49">
        <v>0.94799999999999995</v>
      </c>
      <c r="R18" s="49">
        <v>1.095</v>
      </c>
      <c r="S18" s="49">
        <v>0.93100000000000005</v>
      </c>
      <c r="U18" s="77">
        <f t="shared" si="2"/>
        <v>4.4569999999999999</v>
      </c>
      <c r="W18" s="278">
        <v>1.0269999999999999</v>
      </c>
      <c r="X18" s="278">
        <v>3.9510000000000001</v>
      </c>
      <c r="Y18" s="278">
        <v>1.679</v>
      </c>
      <c r="Z18" s="278">
        <v>1.405</v>
      </c>
      <c r="AA18" s="73"/>
      <c r="AB18" s="77">
        <f t="shared" si="3"/>
        <v>8.0619999999999994</v>
      </c>
      <c r="AD18" s="278">
        <v>0</v>
      </c>
      <c r="AE18" s="278">
        <v>0</v>
      </c>
      <c r="AF18" s="278">
        <v>0</v>
      </c>
      <c r="AH18" s="77">
        <f t="shared" si="5"/>
        <v>0</v>
      </c>
    </row>
    <row r="19" spans="1:34" s="51" customFormat="1" ht="16.75">
      <c r="A19" s="48" t="s">
        <v>115</v>
      </c>
      <c r="B19" s="77">
        <f>'Operating Margins'!B18</f>
        <v>0</v>
      </c>
      <c r="C19" s="77">
        <f>'Operating Margins'!C18</f>
        <v>0</v>
      </c>
      <c r="D19" s="77">
        <f>'Operating Margins'!D18</f>
        <v>0.14499999999999999</v>
      </c>
      <c r="E19" s="77">
        <f>'Operating Margins'!E18</f>
        <v>0</v>
      </c>
      <c r="F19" s="78"/>
      <c r="G19" s="77">
        <f t="shared" si="0"/>
        <v>0.14499999999999999</v>
      </c>
      <c r="H19" s="78"/>
      <c r="I19" s="77">
        <f>'Operating Margins'!I18</f>
        <v>0</v>
      </c>
      <c r="J19" s="77">
        <f>'Operating Margins'!J18</f>
        <v>0</v>
      </c>
      <c r="K19" s="77">
        <f>'Operating Margins'!K18</f>
        <v>0.373</v>
      </c>
      <c r="L19" s="77">
        <f>'Operating Margins'!L18</f>
        <v>1.2629999999999999</v>
      </c>
      <c r="M19" s="78"/>
      <c r="N19" s="77">
        <f t="shared" si="1"/>
        <v>1.6359999999999999</v>
      </c>
      <c r="O19" s="78"/>
      <c r="P19" s="77">
        <f>'Operating Margins'!P18</f>
        <v>0</v>
      </c>
      <c r="Q19" s="77">
        <f>'Operating Margins'!Q18</f>
        <v>1.7989999999999999</v>
      </c>
      <c r="R19" s="77">
        <f>'Operating Margins'!R18</f>
        <v>0</v>
      </c>
      <c r="S19" s="77">
        <f>'Operating Margins'!S18</f>
        <v>0</v>
      </c>
      <c r="U19" s="77">
        <f>'Operating Margins'!U18</f>
        <v>1.7989999999999999</v>
      </c>
      <c r="W19" s="277">
        <f>'Operating Margins'!W18</f>
        <v>0</v>
      </c>
      <c r="X19" s="96">
        <f>'Operating Margins'!X18</f>
        <v>0</v>
      </c>
      <c r="Y19" s="96">
        <f>'Operating Margins'!Y18</f>
        <v>0</v>
      </c>
      <c r="Z19" s="96">
        <v>0</v>
      </c>
      <c r="AA19" s="279"/>
      <c r="AB19" s="77">
        <f t="shared" si="3"/>
        <v>0</v>
      </c>
      <c r="AD19" s="96">
        <v>0</v>
      </c>
      <c r="AE19" s="96">
        <v>0</v>
      </c>
      <c r="AF19" s="96">
        <v>0</v>
      </c>
      <c r="AH19" s="77">
        <f t="shared" si="5"/>
        <v>0</v>
      </c>
    </row>
    <row r="20" spans="1:34" s="51" customFormat="1" ht="16.75">
      <c r="A20" s="48" t="s">
        <v>166</v>
      </c>
      <c r="B20" s="77">
        <f>'Operating Margins'!B19</f>
        <v>0.10100000000000001</v>
      </c>
      <c r="C20" s="77">
        <f>'Operating Margins'!C19</f>
        <v>-0.88900000000000001</v>
      </c>
      <c r="D20" s="77">
        <f>'Operating Margins'!D19</f>
        <v>8.5000000000000006E-2</v>
      </c>
      <c r="E20" s="77">
        <f>'Operating Margins'!E19</f>
        <v>0.28000000000000003</v>
      </c>
      <c r="F20" s="78"/>
      <c r="G20" s="77">
        <f t="shared" si="0"/>
        <v>-0.42300000000000004</v>
      </c>
      <c r="H20" s="78"/>
      <c r="I20" s="77">
        <f>'Operating Margins'!I19</f>
        <v>4.3999999999999997E-2</v>
      </c>
      <c r="J20" s="77">
        <f>'Operating Margins'!J19</f>
        <v>6.2999999999999945E-2</v>
      </c>
      <c r="K20" s="77">
        <f>'Operating Margins'!K19</f>
        <v>-6.7000000000000004E-2</v>
      </c>
      <c r="L20" s="77">
        <f>'Operating Margins'!L19+0.002</f>
        <v>9.7000000000000086E-2</v>
      </c>
      <c r="M20" s="78"/>
      <c r="N20" s="77">
        <f t="shared" si="1"/>
        <v>0.13700000000000001</v>
      </c>
      <c r="O20" s="78"/>
      <c r="P20" s="77">
        <f>'Operating Margins'!P19</f>
        <v>0.55099999999999971</v>
      </c>
      <c r="Q20" s="77">
        <f>'Operating Margins'!Q19</f>
        <v>1.1099999999999999</v>
      </c>
      <c r="R20" s="77">
        <f>'Operating Margins'!R19</f>
        <v>0.91700000000000004</v>
      </c>
      <c r="S20" s="77">
        <f>'Operating Margins'!S19</f>
        <v>0.45200000000000001</v>
      </c>
      <c r="U20" s="77">
        <f>SUM(P20:T20)</f>
        <v>3.0299999999999994</v>
      </c>
      <c r="W20" s="277">
        <f>'Operating Margins'!W19</f>
        <v>3.4000000000000002E-2</v>
      </c>
      <c r="X20" s="277">
        <f>'Operating Margins'!X19</f>
        <v>0.17699999999999999</v>
      </c>
      <c r="Y20" s="277">
        <f>'Operating Margins'!Y19</f>
        <v>1E-3</v>
      </c>
      <c r="Z20" s="277">
        <f>'Operating Margins'!Z19</f>
        <v>8.9999999999999993E-3</v>
      </c>
      <c r="AA20" s="73"/>
      <c r="AB20" s="77">
        <f>'Operating Margins'!AB19</f>
        <v>0.221</v>
      </c>
      <c r="AD20" s="277">
        <f>'Operating Margins'!AD19</f>
        <v>0.109</v>
      </c>
      <c r="AE20" s="277">
        <v>9.9000000000000005E-2</v>
      </c>
      <c r="AF20" s="277">
        <v>0.108</v>
      </c>
      <c r="AH20" s="77">
        <f t="shared" si="5"/>
        <v>0.316</v>
      </c>
    </row>
    <row r="21" spans="1:34" s="51" customFormat="1" ht="16.75">
      <c r="A21" s="48" t="s">
        <v>116</v>
      </c>
      <c r="B21" s="78">
        <v>13.512</v>
      </c>
      <c r="C21" s="78">
        <v>10.646000000000001</v>
      </c>
      <c r="D21" s="78">
        <v>13.016</v>
      </c>
      <c r="E21" s="78">
        <v>13.722</v>
      </c>
      <c r="F21" s="78"/>
      <c r="G21" s="78">
        <f t="shared" si="0"/>
        <v>50.896000000000001</v>
      </c>
      <c r="H21" s="78"/>
      <c r="I21" s="78">
        <v>0</v>
      </c>
      <c r="J21" s="78">
        <v>0</v>
      </c>
      <c r="K21" s="78">
        <v>0</v>
      </c>
      <c r="L21" s="78">
        <v>0</v>
      </c>
      <c r="M21" s="78"/>
      <c r="N21" s="78">
        <f t="shared" si="1"/>
        <v>0</v>
      </c>
      <c r="O21" s="78"/>
      <c r="P21" s="78">
        <v>0</v>
      </c>
      <c r="Q21" s="78">
        <v>0</v>
      </c>
      <c r="R21" s="78">
        <v>0</v>
      </c>
      <c r="S21" s="78">
        <v>0</v>
      </c>
      <c r="U21" s="78">
        <v>0</v>
      </c>
      <c r="W21" s="78">
        <v>0</v>
      </c>
      <c r="X21" s="83">
        <v>0</v>
      </c>
      <c r="Y21" s="78">
        <v>0</v>
      </c>
      <c r="Z21" s="78">
        <v>0</v>
      </c>
      <c r="AB21" s="78">
        <f t="shared" si="3"/>
        <v>0</v>
      </c>
      <c r="AD21" s="78">
        <v>0</v>
      </c>
      <c r="AE21" s="78">
        <v>0</v>
      </c>
      <c r="AF21" s="78">
        <v>0</v>
      </c>
      <c r="AH21" s="78">
        <f t="shared" si="5"/>
        <v>0</v>
      </c>
    </row>
    <row r="22" spans="1:34" s="51" customFormat="1" ht="16.75">
      <c r="A22" s="48" t="s">
        <v>117</v>
      </c>
      <c r="B22" s="85">
        <v>-1.391</v>
      </c>
      <c r="C22" s="85">
        <v>0.114</v>
      </c>
      <c r="D22" s="85">
        <v>-0.70299999999999996</v>
      </c>
      <c r="E22" s="85">
        <v>-0.745</v>
      </c>
      <c r="F22" s="78"/>
      <c r="G22" s="85">
        <f t="shared" si="0"/>
        <v>-2.7250000000000001</v>
      </c>
      <c r="H22" s="78"/>
      <c r="I22" s="85">
        <v>0</v>
      </c>
      <c r="J22" s="85">
        <v>0</v>
      </c>
      <c r="K22" s="85">
        <v>0</v>
      </c>
      <c r="L22" s="85">
        <v>0</v>
      </c>
      <c r="M22" s="78"/>
      <c r="N22" s="85">
        <f t="shared" si="1"/>
        <v>0</v>
      </c>
      <c r="O22" s="78"/>
      <c r="P22" s="85">
        <v>0</v>
      </c>
      <c r="Q22" s="85">
        <v>0</v>
      </c>
      <c r="R22" s="85">
        <v>0</v>
      </c>
      <c r="S22" s="85">
        <v>0</v>
      </c>
      <c r="U22" s="85">
        <v>0</v>
      </c>
      <c r="W22" s="85">
        <v>0</v>
      </c>
      <c r="X22" s="85">
        <v>0</v>
      </c>
      <c r="Y22" s="85">
        <v>0</v>
      </c>
      <c r="Z22" s="85">
        <v>0</v>
      </c>
      <c r="AB22" s="85">
        <f t="shared" si="3"/>
        <v>0</v>
      </c>
      <c r="AD22" s="85">
        <v>0</v>
      </c>
      <c r="AE22" s="85">
        <v>0</v>
      </c>
      <c r="AF22" s="85">
        <v>0</v>
      </c>
      <c r="AH22" s="85">
        <f>SUM(AD22:AF22)</f>
        <v>0</v>
      </c>
    </row>
    <row r="23" spans="1:34" s="51" customFormat="1" ht="16.75">
      <c r="A23" s="80" t="s">
        <v>174</v>
      </c>
      <c r="B23" s="55">
        <f>SUM(B9:B22)+B6</f>
        <v>44.356999999999999</v>
      </c>
      <c r="C23" s="55">
        <f>SUM(C9:C22)+C6</f>
        <v>70.55800000000005</v>
      </c>
      <c r="D23" s="55">
        <f>SUM(D9:D22)+D6</f>
        <v>70.103000000000009</v>
      </c>
      <c r="E23" s="55">
        <f>SUM(E9:E22)+E6</f>
        <v>63.740999999999929</v>
      </c>
      <c r="F23" s="128"/>
      <c r="G23" s="55">
        <f>SUM(G9:G22)+G6</f>
        <v>248.75899999999996</v>
      </c>
      <c r="H23" s="128"/>
      <c r="I23" s="55">
        <f>SUM(I9:I22)+I6</f>
        <v>48.850000000000009</v>
      </c>
      <c r="J23" s="86">
        <f>SUM(J9:J22)+J6</f>
        <v>57.849000000000018</v>
      </c>
      <c r="K23" s="86">
        <f>SUM(K9:K22)+K6</f>
        <v>67.983000000000004</v>
      </c>
      <c r="L23" s="86">
        <f>SUM(L9:L22)+L6</f>
        <v>57.850999999999999</v>
      </c>
      <c r="M23" s="128"/>
      <c r="N23" s="55">
        <f>SUM(N9:N22)+N6</f>
        <v>232.53299999999999</v>
      </c>
      <c r="O23" s="128"/>
      <c r="P23" s="55">
        <f>SUM(P9:P22)+P6</f>
        <v>50.599000000000018</v>
      </c>
      <c r="Q23" s="55">
        <f>SUM(Q9:Q22)+Q6</f>
        <v>54.041000000000025</v>
      </c>
      <c r="R23" s="55">
        <f>SUM(R9:R22)+R6</f>
        <v>64.706000000000003</v>
      </c>
      <c r="S23" s="55">
        <f>SUM(S9:S22)+S6</f>
        <v>67.968000000000004</v>
      </c>
      <c r="T23" s="55"/>
      <c r="U23" s="55">
        <f>SUM(P23:T23)</f>
        <v>237.31400000000008</v>
      </c>
      <c r="W23" s="55">
        <f>SUM(W9:W22)+W6</f>
        <v>51.863999999999947</v>
      </c>
      <c r="X23" s="55">
        <f>SUM(X9:X22)+X6</f>
        <v>47.41</v>
      </c>
      <c r="Y23" s="55">
        <f>SUM(Y9:Y22)+Y6</f>
        <v>59.236000000000004</v>
      </c>
      <c r="Z23" s="55">
        <f>SUM(Z9:Z22)+Z6</f>
        <v>88.7</v>
      </c>
      <c r="AB23" s="55">
        <f>SUM(AB9:AB22)+AB6</f>
        <v>247.20999999999998</v>
      </c>
      <c r="AD23" s="55">
        <f>SUM(AD9:AD22)+AD6</f>
        <v>56.305999999999997</v>
      </c>
      <c r="AE23" s="55">
        <f>SUM(AE9:AE22)+AE6</f>
        <v>50.522999999999996</v>
      </c>
      <c r="AF23" s="55">
        <f>SUM(AF9:AF22)+AF6</f>
        <v>53.467999999999996</v>
      </c>
      <c r="AH23" s="55">
        <f>SUM(AH9:AH22)+AH6</f>
        <v>160.297</v>
      </c>
    </row>
    <row r="24" spans="1:34" s="51" customFormat="1" ht="16.75">
      <c r="A24" s="44" t="s">
        <v>175</v>
      </c>
      <c r="B24" s="129">
        <f>B23/'Revenue Metrics Reconciliation'!C31</f>
        <v>0.23453552374859221</v>
      </c>
      <c r="C24" s="129">
        <f>C23/'Revenue Metrics Reconciliation'!D31</f>
        <v>0.34061965956378615</v>
      </c>
      <c r="D24" s="129">
        <f>D23/'Revenue Metrics Reconciliation'!E31</f>
        <v>0.32238823816159196</v>
      </c>
      <c r="E24" s="129">
        <f>E23/'Revenue Metrics Reconciliation'!F31</f>
        <v>0.2809694041725988</v>
      </c>
      <c r="F24" s="154"/>
      <c r="G24" s="129">
        <f>G23/'Revenue Metrics Reconciliation'!H31</f>
        <v>0.29593627280113916</v>
      </c>
      <c r="H24" s="154"/>
      <c r="I24" s="129">
        <f>I23/'Revenue Metrics Reconciliation'!J31</f>
        <v>0.24189994206285936</v>
      </c>
      <c r="J24" s="129">
        <f>J23/'Revenue Metrics Reconciliation'!K31</f>
        <v>0.26827899642906838</v>
      </c>
      <c r="K24" s="129">
        <f>K23/'Revenue Metrics Reconciliation'!L31</f>
        <v>0.29957960234083059</v>
      </c>
      <c r="L24" s="129">
        <f>L23/'Revenue Metrics Reconciliation'!M31</f>
        <v>0.24494557094407207</v>
      </c>
      <c r="M24" s="154"/>
      <c r="N24" s="129">
        <f>N23/'Revenue Metrics Reconciliation'!O31</f>
        <v>0.26403801607848482</v>
      </c>
      <c r="O24" s="154"/>
      <c r="P24" s="129">
        <f>P23/'Revenue Metrics Reconciliation'!Q31</f>
        <v>0.23078326468991883</v>
      </c>
      <c r="Q24" s="129">
        <f>Q23/'Revenue Metrics Reconciliation'!R31</f>
        <v>0.24165254369921887</v>
      </c>
      <c r="R24" s="129">
        <f>R23/'Revenue Metrics Reconciliation'!S31</f>
        <v>0.28679703567122905</v>
      </c>
      <c r="S24" s="129">
        <f>S23/'Revenue Metrics Reconciliation'!T31</f>
        <v>0.2870864325810662</v>
      </c>
      <c r="U24" s="129">
        <f>U23/'Revenue Metrics Reconciliation'!V31</f>
        <v>0.26215386518817524</v>
      </c>
      <c r="W24" s="129">
        <f>W23/'Revenue Metrics Reconciliation'!X31</f>
        <v>0.23879222626880217</v>
      </c>
      <c r="X24" s="129">
        <f>X23/'Revenue Metrics Reconciliation'!Y31</f>
        <v>0.22532520305883361</v>
      </c>
      <c r="Y24" s="129">
        <f>Y23/'Revenue Metrics Reconciliation'!Z31</f>
        <v>0.27089592851230415</v>
      </c>
      <c r="Z24" s="129">
        <f>Z23/'Revenue Metrics Reconciliation'!AA31</f>
        <v>0.33443933338360604</v>
      </c>
      <c r="AA24" s="79"/>
      <c r="AB24" s="129">
        <f>AB23/'Revenue Metrics Reconciliation'!AC31</f>
        <v>0.27121615557874112</v>
      </c>
      <c r="AD24" s="129">
        <f>AD23/'Constant Currency'!AD16</f>
        <v>0.25445934281466215</v>
      </c>
      <c r="AE24" s="129">
        <f>AE23/'Constant Currency'!AE16</f>
        <v>0.24039111195698717</v>
      </c>
      <c r="AF24" s="129">
        <f>AF23/'Constant Currency'!AF16</f>
        <v>0.23849094307137153</v>
      </c>
      <c r="AH24" s="129">
        <f>AH23/'Constant Currency'!AH16</f>
        <v>0.24448935391373314</v>
      </c>
    </row>
    <row r="25" spans="1:34" s="51" customFormat="1" ht="16.75">
      <c r="A25" s="80"/>
      <c r="B25" s="55"/>
      <c r="C25" s="55"/>
      <c r="D25" s="55"/>
      <c r="E25" s="55"/>
      <c r="F25" s="128"/>
      <c r="G25" s="55"/>
      <c r="H25" s="128"/>
      <c r="I25" s="55"/>
      <c r="J25" s="55"/>
      <c r="K25" s="55"/>
      <c r="L25" s="55"/>
      <c r="M25" s="128"/>
      <c r="N25" s="55"/>
      <c r="O25" s="128"/>
      <c r="P25" s="55"/>
      <c r="Q25" s="55"/>
      <c r="R25" s="55"/>
      <c r="S25" s="55"/>
      <c r="U25" s="55"/>
      <c r="AB25" s="55"/>
      <c r="AH25" s="55"/>
    </row>
    <row r="26" spans="1:34">
      <c r="A26" s="37"/>
    </row>
    <row r="27" spans="1:34">
      <c r="A27" s="37"/>
    </row>
    <row r="28" spans="1:34">
      <c r="A28" s="37"/>
    </row>
    <row r="29" spans="1:34">
      <c r="A29" s="37"/>
    </row>
    <row r="30" spans="1:34">
      <c r="A30" s="37"/>
    </row>
    <row r="31" spans="1:34">
      <c r="A31" s="37"/>
    </row>
    <row r="32" spans="1:34">
      <c r="A32" s="37"/>
    </row>
    <row r="33" spans="1:1">
      <c r="A33" s="37"/>
    </row>
    <row r="34" spans="1:1">
      <c r="A34" s="37"/>
    </row>
    <row r="35" spans="1:1">
      <c r="A35" s="37"/>
    </row>
    <row r="36" spans="1:1">
      <c r="A36" s="37"/>
    </row>
    <row r="37" spans="1:1">
      <c r="A37" s="37"/>
    </row>
    <row r="38" spans="1:1">
      <c r="A38" s="37"/>
    </row>
    <row r="39" spans="1:1">
      <c r="A39" s="37"/>
    </row>
    <row r="40" spans="1:1">
      <c r="A40" s="37"/>
    </row>
    <row r="41" spans="1:1">
      <c r="A41" s="37"/>
    </row>
    <row r="42" spans="1:1">
      <c r="A42" s="37"/>
    </row>
    <row r="43" spans="1:1">
      <c r="A43" s="37"/>
    </row>
    <row r="44" spans="1:1">
      <c r="A44" s="37"/>
    </row>
    <row r="45" spans="1:1">
      <c r="A45" s="37"/>
    </row>
    <row r="46" spans="1:1">
      <c r="A46" s="37"/>
    </row>
    <row r="47" spans="1:1">
      <c r="A47" s="37"/>
    </row>
    <row r="48" spans="1:1">
      <c r="A48" s="37"/>
    </row>
    <row r="49" spans="1:1">
      <c r="A49" s="37"/>
    </row>
    <row r="50" spans="1:1">
      <c r="A50" s="37"/>
    </row>
    <row r="51" spans="1:1">
      <c r="A51" s="37"/>
    </row>
    <row r="52" spans="1:1">
      <c r="A52" s="37"/>
    </row>
    <row r="53" spans="1:1">
      <c r="A53" s="37"/>
    </row>
    <row r="54" spans="1:1">
      <c r="A54" s="37"/>
    </row>
    <row r="55" spans="1:1">
      <c r="A55" s="37"/>
    </row>
    <row r="56" spans="1:1">
      <c r="A56" s="37"/>
    </row>
    <row r="57" spans="1:1">
      <c r="A57" s="37"/>
    </row>
    <row r="58" spans="1:1">
      <c r="A58" s="37"/>
    </row>
    <row r="59" spans="1:1">
      <c r="A59" s="37"/>
    </row>
    <row r="60" spans="1:1">
      <c r="A60" s="37"/>
    </row>
    <row r="61" spans="1:1">
      <c r="A61" s="37"/>
    </row>
    <row r="62" spans="1:1">
      <c r="A62" s="37"/>
    </row>
    <row r="63" spans="1:1">
      <c r="A63" s="37"/>
    </row>
    <row r="64" spans="1:1">
      <c r="A64" s="37"/>
    </row>
    <row r="65" spans="1:1">
      <c r="A65" s="37"/>
    </row>
    <row r="66" spans="1:1">
      <c r="A66" s="37"/>
    </row>
    <row r="67" spans="1:1">
      <c r="A67" s="37"/>
    </row>
    <row r="68" spans="1:1">
      <c r="A68" s="37"/>
    </row>
    <row r="69" spans="1:1">
      <c r="A69" s="37"/>
    </row>
    <row r="70" spans="1:1">
      <c r="A70" s="37"/>
    </row>
    <row r="71" spans="1:1">
      <c r="A71" s="37"/>
    </row>
    <row r="72" spans="1:1">
      <c r="A72" s="37"/>
    </row>
    <row r="73" spans="1:1">
      <c r="A73" s="37"/>
    </row>
    <row r="74" spans="1:1">
      <c r="A74" s="37"/>
    </row>
    <row r="75" spans="1:1">
      <c r="A75" s="37"/>
    </row>
    <row r="76" spans="1:1">
      <c r="A76" s="37"/>
    </row>
    <row r="77" spans="1:1">
      <c r="A77" s="37"/>
    </row>
    <row r="78" spans="1:1">
      <c r="A78" s="37"/>
    </row>
    <row r="79" spans="1:1">
      <c r="A79" s="37"/>
    </row>
    <row r="80" spans="1:1">
      <c r="A80" s="37"/>
    </row>
    <row r="81" spans="1:1">
      <c r="A81" s="37"/>
    </row>
    <row r="82" spans="1:1">
      <c r="A82" s="37"/>
    </row>
    <row r="83" spans="1:1">
      <c r="A83" s="37"/>
    </row>
    <row r="84" spans="1:1">
      <c r="A84" s="37"/>
    </row>
    <row r="85" spans="1:1">
      <c r="A85" s="37"/>
    </row>
    <row r="86" spans="1:1">
      <c r="A86" s="37"/>
    </row>
    <row r="87" spans="1:1">
      <c r="A87" s="37"/>
    </row>
    <row r="88" spans="1:1">
      <c r="A88" s="37"/>
    </row>
    <row r="89" spans="1:1">
      <c r="A89" s="37"/>
    </row>
    <row r="90" spans="1:1">
      <c r="A90" s="37"/>
    </row>
    <row r="91" spans="1:1">
      <c r="A91" s="37"/>
    </row>
    <row r="92" spans="1:1">
      <c r="A92" s="37"/>
    </row>
    <row r="93" spans="1:1">
      <c r="A93" s="37"/>
    </row>
    <row r="94" spans="1:1">
      <c r="A94" s="37"/>
    </row>
    <row r="95" spans="1:1">
      <c r="A95" s="37"/>
    </row>
    <row r="96" spans="1:1">
      <c r="A96" s="37"/>
    </row>
    <row r="97" spans="1:1">
      <c r="A97" s="37"/>
    </row>
    <row r="98" spans="1:1">
      <c r="A98" s="37"/>
    </row>
    <row r="99" spans="1:1">
      <c r="A99" s="37"/>
    </row>
    <row r="100" spans="1:1">
      <c r="A100" s="37"/>
    </row>
    <row r="101" spans="1:1">
      <c r="A101" s="37"/>
    </row>
    <row r="102" spans="1:1">
      <c r="A102" s="37"/>
    </row>
    <row r="103" spans="1:1">
      <c r="A103" s="37"/>
    </row>
    <row r="104" spans="1:1">
      <c r="A104" s="37"/>
    </row>
    <row r="105" spans="1:1">
      <c r="A105" s="37"/>
    </row>
    <row r="106" spans="1:1">
      <c r="A106" s="37"/>
    </row>
    <row r="107" spans="1:1">
      <c r="A107" s="37"/>
    </row>
    <row r="108" spans="1:1">
      <c r="A108" s="37"/>
    </row>
    <row r="109" spans="1:1">
      <c r="A109" s="37"/>
    </row>
    <row r="110" spans="1:1">
      <c r="A110" s="37"/>
    </row>
    <row r="111" spans="1:1">
      <c r="A111" s="37"/>
    </row>
    <row r="112" spans="1:1">
      <c r="A112" s="37"/>
    </row>
    <row r="113" spans="1:1">
      <c r="A113" s="37"/>
    </row>
    <row r="114" spans="1:1">
      <c r="A114" s="37"/>
    </row>
    <row r="115" spans="1:1">
      <c r="A115" s="37"/>
    </row>
    <row r="116" spans="1:1">
      <c r="A116" s="37"/>
    </row>
    <row r="117" spans="1:1">
      <c r="A117" s="37"/>
    </row>
  </sheetData>
  <mergeCells count="5">
    <mergeCell ref="B3:E3"/>
    <mergeCell ref="I3:L3"/>
    <mergeCell ref="P3:S3"/>
    <mergeCell ref="W3:Z3"/>
    <mergeCell ref="AD3:AF3"/>
  </mergeCells>
  <pageMargins left="0.25" right="0.25"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579C4-0256-4B1E-AD82-D8E42A9930FD}">
  <sheetPr codeName="Sheet12">
    <tabColor rgb="FF0079FF"/>
    <pageSetUpPr fitToPage="1"/>
  </sheetPr>
  <dimension ref="A1:AH174"/>
  <sheetViews>
    <sheetView zoomScale="65" zoomScaleNormal="65" workbookViewId="0">
      <pane xSplit="1" ySplit="4" topLeftCell="G5" activePane="bottomRight" state="frozen"/>
      <selection pane="topRight" activeCell="B1" sqref="B1"/>
      <selection pane="bottomLeft" activeCell="A5" sqref="A5"/>
      <selection pane="bottomRight" activeCell="G5" sqref="G5"/>
    </sheetView>
  </sheetViews>
  <sheetFormatPr defaultColWidth="9.1328125" defaultRowHeight="10.5" outlineLevelCol="1"/>
  <cols>
    <col min="1" max="1" width="92.40625" style="60" customWidth="1"/>
    <col min="2" max="5" width="20.40625" style="37" hidden="1" customWidth="1" outlineLevel="1"/>
    <col min="6" max="6" width="1.40625" style="37" hidden="1" customWidth="1" outlineLevel="1"/>
    <col min="7" max="7" width="20.40625" style="37" customWidth="1" collapsed="1"/>
    <col min="8" max="8" width="1.86328125" style="37" customWidth="1"/>
    <col min="9" max="12" width="20.40625" style="60" hidden="1" customWidth="1" outlineLevel="1"/>
    <col min="13" max="13" width="1.86328125" style="37" hidden="1" customWidth="1" outlineLevel="1"/>
    <col min="14" max="14" width="20.40625" style="60" customWidth="1" collapsed="1"/>
    <col min="15" max="15" width="1.86328125" style="37" customWidth="1"/>
    <col min="16" max="19" width="20.40625" style="60" hidden="1" customWidth="1" outlineLevel="1"/>
    <col min="20" max="20" width="1.86328125" style="37" hidden="1" customWidth="1" outlineLevel="1"/>
    <col min="21" max="21" width="20.40625" style="60" customWidth="1" collapsed="1"/>
    <col min="22" max="22" width="3.1328125" style="37" customWidth="1"/>
    <col min="23" max="25" width="15.26953125" style="37" customWidth="1"/>
    <col min="26" max="26" width="15.1328125" style="37" bestFit="1" customWidth="1"/>
    <col min="27" max="27" width="1.86328125" style="37" customWidth="1"/>
    <col min="28" max="28" width="20.40625" style="60" customWidth="1"/>
    <col min="29" max="29" width="3.1328125" style="37" customWidth="1"/>
    <col min="30" max="32" width="15.26953125" style="37" customWidth="1"/>
    <col min="33" max="33" width="2.86328125" style="37" customWidth="1"/>
    <col min="34" max="34" width="20.40625" style="60" customWidth="1"/>
    <col min="35" max="16384" width="9.1328125" style="37"/>
  </cols>
  <sheetData>
    <row r="1" spans="1:34" s="94" customFormat="1" ht="18">
      <c r="A1" s="93" t="s">
        <v>176</v>
      </c>
      <c r="F1" s="37"/>
      <c r="H1" s="37"/>
      <c r="M1" s="37"/>
      <c r="O1" s="37"/>
      <c r="T1" s="37"/>
    </row>
    <row r="2" spans="1:34" ht="14.25" customHeight="1">
      <c r="A2" s="38"/>
      <c r="I2" s="37"/>
      <c r="J2" s="37"/>
      <c r="K2" s="37"/>
      <c r="L2" s="37"/>
      <c r="N2" s="37"/>
      <c r="P2" s="37"/>
      <c r="Q2" s="37"/>
      <c r="R2" s="37"/>
      <c r="S2" s="37"/>
      <c r="U2" s="37"/>
      <c r="AB2" s="37"/>
      <c r="AH2" s="37"/>
    </row>
    <row r="3" spans="1:34" s="7" customFormat="1" ht="30" customHeight="1">
      <c r="A3" s="39"/>
      <c r="B3" s="355" t="s">
        <v>21</v>
      </c>
      <c r="C3" s="355"/>
      <c r="D3" s="355"/>
      <c r="E3" s="355"/>
      <c r="F3" s="138"/>
      <c r="G3" s="40" t="s">
        <v>22</v>
      </c>
      <c r="H3" s="138"/>
      <c r="I3" s="355" t="s">
        <v>21</v>
      </c>
      <c r="J3" s="355"/>
      <c r="K3" s="355"/>
      <c r="L3" s="355"/>
      <c r="M3" s="138"/>
      <c r="N3" s="40" t="s">
        <v>22</v>
      </c>
      <c r="O3" s="138"/>
      <c r="P3" s="355" t="s">
        <v>21</v>
      </c>
      <c r="Q3" s="355"/>
      <c r="R3" s="355"/>
      <c r="S3" s="355"/>
      <c r="T3" s="138"/>
      <c r="U3" s="40" t="s">
        <v>22</v>
      </c>
      <c r="W3" s="355" t="s">
        <v>21</v>
      </c>
      <c r="X3" s="355"/>
      <c r="Y3" s="355"/>
      <c r="Z3" s="355"/>
      <c r="AB3" s="40" t="s">
        <v>22</v>
      </c>
      <c r="AD3" s="355" t="s">
        <v>21</v>
      </c>
      <c r="AE3" s="355"/>
      <c r="AF3" s="355"/>
      <c r="AH3" s="40" t="s">
        <v>320</v>
      </c>
    </row>
    <row r="4" spans="1:34" s="7" customFormat="1" ht="30" customHeight="1">
      <c r="A4" s="41" t="s">
        <v>24</v>
      </c>
      <c r="B4" s="42" t="s">
        <v>80</v>
      </c>
      <c r="C4" s="42" t="s">
        <v>81</v>
      </c>
      <c r="D4" s="42" t="s">
        <v>82</v>
      </c>
      <c r="E4" s="42" t="s">
        <v>83</v>
      </c>
      <c r="F4" s="139"/>
      <c r="G4" s="42" t="s">
        <v>83</v>
      </c>
      <c r="H4" s="139"/>
      <c r="I4" s="42" t="s">
        <v>84</v>
      </c>
      <c r="J4" s="42" t="s">
        <v>85</v>
      </c>
      <c r="K4" s="42" t="s">
        <v>86</v>
      </c>
      <c r="L4" s="42" t="s">
        <v>87</v>
      </c>
      <c r="M4" s="139"/>
      <c r="N4" s="42" t="s">
        <v>87</v>
      </c>
      <c r="O4" s="139"/>
      <c r="P4" s="42" t="s">
        <v>88</v>
      </c>
      <c r="Q4" s="42" t="s">
        <v>89</v>
      </c>
      <c r="R4" s="42" t="s">
        <v>90</v>
      </c>
      <c r="S4" s="42" t="s">
        <v>91</v>
      </c>
      <c r="T4" s="139"/>
      <c r="U4" s="42" t="s">
        <v>91</v>
      </c>
      <c r="W4" s="42" t="s">
        <v>23</v>
      </c>
      <c r="X4" s="42" t="s">
        <v>92</v>
      </c>
      <c r="Y4" s="42" t="s">
        <v>93</v>
      </c>
      <c r="Z4" s="42" t="s">
        <v>94</v>
      </c>
      <c r="AB4" s="42" t="s">
        <v>94</v>
      </c>
      <c r="AD4" s="42" t="s">
        <v>95</v>
      </c>
      <c r="AE4" s="42" t="s">
        <v>309</v>
      </c>
      <c r="AF4" s="42" t="s">
        <v>319</v>
      </c>
      <c r="AH4" s="42" t="s">
        <v>319</v>
      </c>
    </row>
    <row r="5" spans="1:34" s="51" customFormat="1" ht="16.75">
      <c r="A5" s="70"/>
    </row>
    <row r="6" spans="1:34" s="51" customFormat="1" ht="16.75">
      <c r="A6" s="70" t="s">
        <v>177</v>
      </c>
    </row>
    <row r="7" spans="1:34" s="46" customFormat="1" ht="16.75">
      <c r="A7" s="44" t="s">
        <v>178</v>
      </c>
      <c r="B7" s="55">
        <v>-12.03</v>
      </c>
      <c r="C7" s="55">
        <v>-22.597999999999999</v>
      </c>
      <c r="D7" s="55">
        <v>-21.074000000000002</v>
      </c>
      <c r="E7" s="55">
        <v>-43.384</v>
      </c>
      <c r="F7" s="128"/>
      <c r="G7" s="55">
        <f t="shared" ref="G7:G14" si="0">+B7+C7+D7+E7</f>
        <v>-99.085999999999999</v>
      </c>
      <c r="H7" s="128"/>
      <c r="I7" s="55">
        <v>-3.42</v>
      </c>
      <c r="J7" s="55">
        <v>-2.02</v>
      </c>
      <c r="K7" s="55">
        <v>-1.8180000000000001</v>
      </c>
      <c r="L7" s="55">
        <v>-8.1000000000000003E-2</v>
      </c>
      <c r="M7" s="128"/>
      <c r="N7" s="55">
        <f t="shared" ref="N7:N15" si="1">+I7+J7+K7+L7</f>
        <v>-7.3389999999999995</v>
      </c>
      <c r="O7" s="128"/>
      <c r="P7" s="55">
        <v>0.372</v>
      </c>
      <c r="Q7" s="55">
        <v>-0.89800000000000002</v>
      </c>
      <c r="R7" s="55">
        <v>-5.7000000000000002E-2</v>
      </c>
      <c r="S7" s="55">
        <v>-2.0110000000000001</v>
      </c>
      <c r="T7" s="128"/>
      <c r="U7" s="55">
        <f>SUM(P7:T7)</f>
        <v>-2.5940000000000003</v>
      </c>
      <c r="W7" s="55">
        <v>-0.77500000000000002</v>
      </c>
      <c r="X7" s="55">
        <v>-0.82</v>
      </c>
      <c r="Y7" s="55">
        <v>-0.9</v>
      </c>
      <c r="Z7" s="55">
        <v>-4.4180000000000001</v>
      </c>
      <c r="AB7" s="55">
        <f t="shared" ref="AB7:AB14" si="2">W7+X7+Y7+Z7</f>
        <v>-6.9130000000000003</v>
      </c>
      <c r="AD7" s="55">
        <v>-1.111</v>
      </c>
      <c r="AE7" s="55">
        <v>-3.8929999999999998</v>
      </c>
      <c r="AF7" s="55">
        <v>-3.407</v>
      </c>
      <c r="AH7" s="55">
        <f>SUM(AD7:AF7)</f>
        <v>-8.4109999999999996</v>
      </c>
    </row>
    <row r="8" spans="1:34" s="51" customFormat="1" ht="16.75">
      <c r="A8" s="48" t="s">
        <v>179</v>
      </c>
      <c r="B8" s="52">
        <v>0</v>
      </c>
      <c r="C8" s="52">
        <v>-0.17299999999999999</v>
      </c>
      <c r="D8" s="52">
        <v>0.93100000000000005</v>
      </c>
      <c r="E8" s="52">
        <v>0.35699999999999998</v>
      </c>
      <c r="F8" s="137"/>
      <c r="G8" s="52">
        <f t="shared" si="0"/>
        <v>1.115</v>
      </c>
      <c r="H8" s="137"/>
      <c r="I8" s="52">
        <v>14.305</v>
      </c>
      <c r="J8" s="52">
        <v>0</v>
      </c>
      <c r="K8" s="52">
        <v>0</v>
      </c>
      <c r="L8" s="52">
        <v>0</v>
      </c>
      <c r="M8" s="137"/>
      <c r="N8" s="52">
        <f t="shared" si="1"/>
        <v>14.305</v>
      </c>
      <c r="O8" s="137"/>
      <c r="P8" s="52">
        <v>0</v>
      </c>
      <c r="Q8" s="52">
        <v>0</v>
      </c>
      <c r="R8" s="52">
        <v>0</v>
      </c>
      <c r="S8" s="52">
        <v>0</v>
      </c>
      <c r="T8" s="137"/>
      <c r="U8" s="52">
        <f t="shared" ref="U8:U15" si="3">SUM(P8:T8)</f>
        <v>0</v>
      </c>
      <c r="W8" s="52">
        <v>0</v>
      </c>
      <c r="X8" s="52">
        <v>0</v>
      </c>
      <c r="Y8" s="52">
        <v>0</v>
      </c>
      <c r="Z8" s="52">
        <v>0</v>
      </c>
      <c r="AB8" s="52">
        <f t="shared" si="2"/>
        <v>0</v>
      </c>
      <c r="AD8" s="52">
        <v>0</v>
      </c>
      <c r="AE8" s="52">
        <v>0</v>
      </c>
      <c r="AF8" s="52">
        <v>0</v>
      </c>
      <c r="AH8" s="52">
        <f>SUM(AD8:AF8)</f>
        <v>0</v>
      </c>
    </row>
    <row r="9" spans="1:34" s="51" customFormat="1" ht="16.75">
      <c r="A9" s="48" t="s">
        <v>180</v>
      </c>
      <c r="B9" s="96">
        <v>3.226</v>
      </c>
      <c r="C9" s="96">
        <v>3.1739999999999999</v>
      </c>
      <c r="D9" s="96">
        <v>3.22</v>
      </c>
      <c r="E9" s="96">
        <v>3.2629999999999999</v>
      </c>
      <c r="F9" s="83"/>
      <c r="G9" s="96">
        <f t="shared" si="0"/>
        <v>12.883000000000001</v>
      </c>
      <c r="H9" s="83"/>
      <c r="I9" s="96">
        <v>0</v>
      </c>
      <c r="J9" s="96">
        <v>0</v>
      </c>
      <c r="K9" s="96">
        <v>0</v>
      </c>
      <c r="L9" s="96">
        <v>0</v>
      </c>
      <c r="M9" s="83"/>
      <c r="N9" s="96">
        <f t="shared" si="1"/>
        <v>0</v>
      </c>
      <c r="O9" s="83"/>
      <c r="P9" s="96">
        <v>0</v>
      </c>
      <c r="Q9" s="96">
        <v>0</v>
      </c>
      <c r="R9" s="96">
        <v>0</v>
      </c>
      <c r="S9" s="96">
        <v>0</v>
      </c>
      <c r="T9" s="83"/>
      <c r="U9" s="96">
        <f t="shared" si="3"/>
        <v>0</v>
      </c>
      <c r="W9" s="96">
        <v>0</v>
      </c>
      <c r="X9" s="96">
        <v>0</v>
      </c>
      <c r="Y9" s="96">
        <v>0</v>
      </c>
      <c r="Z9" s="96">
        <v>0</v>
      </c>
      <c r="AB9" s="96">
        <f t="shared" si="2"/>
        <v>0</v>
      </c>
      <c r="AD9" s="96">
        <v>0</v>
      </c>
      <c r="AE9" s="96">
        <v>0</v>
      </c>
      <c r="AF9" s="96">
        <v>0</v>
      </c>
      <c r="AH9" s="96">
        <f>SUM(AD9:AF9)</f>
        <v>0</v>
      </c>
    </row>
    <row r="10" spans="1:34" s="51" customFormat="1" ht="16.75">
      <c r="A10" s="48" t="s">
        <v>181</v>
      </c>
      <c r="B10" s="52">
        <v>0</v>
      </c>
      <c r="C10" s="52">
        <v>1.462</v>
      </c>
      <c r="D10" s="52">
        <v>0</v>
      </c>
      <c r="E10" s="52">
        <v>0</v>
      </c>
      <c r="F10" s="137"/>
      <c r="G10" s="52">
        <f t="shared" si="0"/>
        <v>1.462</v>
      </c>
      <c r="H10" s="137"/>
      <c r="I10" s="52">
        <v>2.4740000000000002</v>
      </c>
      <c r="J10" s="52">
        <v>0</v>
      </c>
      <c r="K10" s="52">
        <v>0</v>
      </c>
      <c r="L10" s="52">
        <v>0</v>
      </c>
      <c r="M10" s="137"/>
      <c r="N10" s="52">
        <f t="shared" si="1"/>
        <v>2.4740000000000002</v>
      </c>
      <c r="O10" s="137"/>
      <c r="P10" s="52">
        <v>0</v>
      </c>
      <c r="Q10" s="52">
        <v>0</v>
      </c>
      <c r="R10" s="52">
        <v>0</v>
      </c>
      <c r="S10" s="52">
        <v>0</v>
      </c>
      <c r="T10" s="137"/>
      <c r="U10" s="52">
        <f t="shared" si="3"/>
        <v>0</v>
      </c>
      <c r="W10" s="52">
        <v>0.23699999999999999</v>
      </c>
      <c r="X10" s="52">
        <v>0</v>
      </c>
      <c r="Y10" s="52">
        <v>0</v>
      </c>
      <c r="Z10" s="52">
        <v>0</v>
      </c>
      <c r="AB10" s="52">
        <f t="shared" si="2"/>
        <v>0.23699999999999999</v>
      </c>
      <c r="AD10" s="52">
        <v>0</v>
      </c>
      <c r="AE10" s="52">
        <v>0</v>
      </c>
      <c r="AF10" s="52">
        <v>0</v>
      </c>
      <c r="AH10" s="52">
        <f>SUM(AD10:AF10)</f>
        <v>0</v>
      </c>
    </row>
    <row r="11" spans="1:34" s="51" customFormat="1" ht="16.75">
      <c r="A11" s="48" t="s">
        <v>182</v>
      </c>
      <c r="B11" s="126">
        <v>0</v>
      </c>
      <c r="C11" s="126">
        <v>13.61</v>
      </c>
      <c r="D11" s="126">
        <v>9.2240000000000002</v>
      </c>
      <c r="E11" s="126">
        <v>33.311999999999998</v>
      </c>
      <c r="F11" s="137"/>
      <c r="G11" s="126">
        <f t="shared" si="0"/>
        <v>56.146000000000001</v>
      </c>
      <c r="H11" s="137"/>
      <c r="I11" s="126">
        <v>-15.81</v>
      </c>
      <c r="J11" s="126">
        <v>0</v>
      </c>
      <c r="K11" s="126">
        <v>0</v>
      </c>
      <c r="L11" s="126">
        <v>0</v>
      </c>
      <c r="M11" s="137"/>
      <c r="N11" s="126">
        <f t="shared" si="1"/>
        <v>-15.81</v>
      </c>
      <c r="O11" s="137"/>
      <c r="P11" s="126">
        <v>0</v>
      </c>
      <c r="Q11" s="126">
        <v>0</v>
      </c>
      <c r="R11" s="126">
        <v>0</v>
      </c>
      <c r="S11" s="126">
        <v>0</v>
      </c>
      <c r="T11" s="137"/>
      <c r="U11" s="126">
        <f t="shared" si="3"/>
        <v>0</v>
      </c>
      <c r="W11" s="126">
        <v>0</v>
      </c>
      <c r="X11" s="126">
        <v>0</v>
      </c>
      <c r="Y11" s="126">
        <v>0</v>
      </c>
      <c r="Z11" s="126">
        <v>0</v>
      </c>
      <c r="AB11" s="126">
        <f t="shared" si="2"/>
        <v>0</v>
      </c>
      <c r="AD11" s="126">
        <v>0</v>
      </c>
      <c r="AE11" s="126">
        <v>0</v>
      </c>
      <c r="AF11" s="126">
        <v>0</v>
      </c>
      <c r="AH11" s="126">
        <f t="shared" ref="AH11:AH14" si="4">SUM(AD11:AF11)</f>
        <v>0</v>
      </c>
    </row>
    <row r="12" spans="1:34" s="51" customFormat="1" ht="16.75">
      <c r="A12" s="58" t="s">
        <v>112</v>
      </c>
      <c r="B12" s="96">
        <v>1.2E-2</v>
      </c>
      <c r="C12" s="96">
        <v>5.3999999999999999E-2</v>
      </c>
      <c r="D12" s="96">
        <v>6.2E-2</v>
      </c>
      <c r="E12" s="96">
        <v>1.4E-2</v>
      </c>
      <c r="F12" s="83"/>
      <c r="G12" s="96">
        <f t="shared" si="0"/>
        <v>0.14200000000000002</v>
      </c>
      <c r="H12" s="83"/>
      <c r="I12" s="83">
        <v>-3.2</v>
      </c>
      <c r="J12" s="83">
        <v>-0.14799999999999999</v>
      </c>
      <c r="K12" s="83">
        <v>-0.122</v>
      </c>
      <c r="L12" s="83">
        <v>5.0000000000000001E-3</v>
      </c>
      <c r="M12" s="83"/>
      <c r="N12" s="96">
        <f t="shared" si="1"/>
        <v>-3.4650000000000003</v>
      </c>
      <c r="O12" s="83"/>
      <c r="P12" s="83">
        <v>0</v>
      </c>
      <c r="Q12" s="83">
        <v>0</v>
      </c>
      <c r="R12" s="83">
        <v>0</v>
      </c>
      <c r="S12" s="83">
        <v>0</v>
      </c>
      <c r="T12" s="83"/>
      <c r="U12" s="83">
        <f t="shared" si="3"/>
        <v>0</v>
      </c>
      <c r="W12" s="83">
        <v>-0.156</v>
      </c>
      <c r="X12" s="83">
        <v>0</v>
      </c>
      <c r="Y12" s="83">
        <v>0</v>
      </c>
      <c r="Z12" s="83">
        <v>0</v>
      </c>
      <c r="AB12" s="83">
        <f t="shared" si="2"/>
        <v>-0.156</v>
      </c>
      <c r="AD12" s="83">
        <v>0</v>
      </c>
      <c r="AE12" s="83">
        <v>0</v>
      </c>
      <c r="AF12" s="83">
        <v>0</v>
      </c>
      <c r="AH12" s="83">
        <f t="shared" si="4"/>
        <v>0</v>
      </c>
    </row>
    <row r="13" spans="1:34" s="51" customFormat="1" ht="16.75">
      <c r="A13" s="48" t="s">
        <v>306</v>
      </c>
      <c r="B13" s="96">
        <v>0</v>
      </c>
      <c r="C13" s="96">
        <v>0</v>
      </c>
      <c r="D13" s="96">
        <v>0</v>
      </c>
      <c r="E13" s="96">
        <v>0</v>
      </c>
      <c r="F13" s="83"/>
      <c r="G13" s="96">
        <f t="shared" si="0"/>
        <v>0</v>
      </c>
      <c r="H13" s="83"/>
      <c r="I13" s="83">
        <v>0</v>
      </c>
      <c r="J13" s="83">
        <v>0</v>
      </c>
      <c r="K13" s="83">
        <v>0</v>
      </c>
      <c r="L13" s="83">
        <v>0</v>
      </c>
      <c r="M13" s="83"/>
      <c r="N13" s="96">
        <f t="shared" si="1"/>
        <v>0</v>
      </c>
      <c r="O13" s="83"/>
      <c r="P13" s="83">
        <v>0</v>
      </c>
      <c r="Q13" s="83">
        <v>0</v>
      </c>
      <c r="R13" s="83">
        <v>0</v>
      </c>
      <c r="S13" s="83">
        <v>1.2509999999999999</v>
      </c>
      <c r="T13" s="83"/>
      <c r="U13" s="83">
        <f t="shared" si="3"/>
        <v>1.2509999999999999</v>
      </c>
      <c r="W13" s="83">
        <v>-8.9999999999999993E-3</v>
      </c>
      <c r="X13" s="83">
        <v>-0.11</v>
      </c>
      <c r="Y13" s="83">
        <v>-0.113</v>
      </c>
      <c r="Z13" s="83">
        <v>5.0720000000000001</v>
      </c>
      <c r="AB13" s="83">
        <f t="shared" si="2"/>
        <v>4.84</v>
      </c>
      <c r="AD13" s="83">
        <v>0</v>
      </c>
      <c r="AE13" s="83">
        <v>0</v>
      </c>
      <c r="AF13" s="83">
        <v>0</v>
      </c>
      <c r="AH13" s="83">
        <f t="shared" si="4"/>
        <v>0</v>
      </c>
    </row>
    <row r="14" spans="1:34" s="51" customFormat="1" ht="16.75">
      <c r="A14" s="48" t="s">
        <v>166</v>
      </c>
      <c r="B14" s="97">
        <v>0</v>
      </c>
      <c r="C14" s="97">
        <v>0</v>
      </c>
      <c r="D14" s="97">
        <v>0</v>
      </c>
      <c r="E14" s="97">
        <v>0</v>
      </c>
      <c r="F14" s="83"/>
      <c r="G14" s="97">
        <f t="shared" si="0"/>
        <v>0</v>
      </c>
      <c r="H14" s="83"/>
      <c r="I14" s="98">
        <v>0</v>
      </c>
      <c r="J14" s="98">
        <v>0</v>
      </c>
      <c r="K14" s="98">
        <v>0</v>
      </c>
      <c r="L14" s="98">
        <v>-1.1679999999999999</v>
      </c>
      <c r="M14" s="83"/>
      <c r="N14" s="97">
        <f t="shared" si="1"/>
        <v>-1.1679999999999999</v>
      </c>
      <c r="O14" s="83"/>
      <c r="P14" s="98">
        <v>0</v>
      </c>
      <c r="Q14" s="98">
        <v>0</v>
      </c>
      <c r="R14" s="98">
        <v>0</v>
      </c>
      <c r="S14" s="98">
        <v>0</v>
      </c>
      <c r="T14" s="83"/>
      <c r="U14" s="98">
        <f t="shared" si="3"/>
        <v>0</v>
      </c>
      <c r="W14" s="98">
        <v>0</v>
      </c>
      <c r="X14" s="98">
        <v>0</v>
      </c>
      <c r="Y14" s="98">
        <v>0</v>
      </c>
      <c r="Z14" s="98">
        <v>0</v>
      </c>
      <c r="AB14" s="98">
        <f t="shared" si="2"/>
        <v>0</v>
      </c>
      <c r="AD14" s="98">
        <v>0</v>
      </c>
      <c r="AE14" s="98">
        <v>0.46200000000000002</v>
      </c>
      <c r="AF14" s="98">
        <v>-8.9999999999999993E-3</v>
      </c>
      <c r="AH14" s="98">
        <f t="shared" si="4"/>
        <v>0.45300000000000001</v>
      </c>
    </row>
    <row r="15" spans="1:34" s="51" customFormat="1" ht="16.75">
      <c r="A15" s="44" t="s">
        <v>183</v>
      </c>
      <c r="B15" s="55">
        <f>SUM(B7:B14)</f>
        <v>-8.791999999999998</v>
      </c>
      <c r="C15" s="55">
        <f>SUM(C7:C14)</f>
        <v>-4.4709999999999983</v>
      </c>
      <c r="D15" s="55">
        <f>SUM(D7:D14)</f>
        <v>-7.6370000000000013</v>
      </c>
      <c r="E15" s="55">
        <f>SUM(E7:E14)</f>
        <v>-6.4380000000000051</v>
      </c>
      <c r="F15" s="128"/>
      <c r="G15" s="55">
        <f>SUM(G7:G14)</f>
        <v>-27.338000000000005</v>
      </c>
      <c r="H15" s="128"/>
      <c r="I15" s="55">
        <f>SUM(I7:I14)</f>
        <v>-5.6510000000000007</v>
      </c>
      <c r="J15" s="55">
        <f>SUM(J7:J14)</f>
        <v>-2.1680000000000001</v>
      </c>
      <c r="K15" s="55">
        <f>SUM(K7:K14)</f>
        <v>-1.94</v>
      </c>
      <c r="L15" s="55">
        <f>SUM(L7:L14)</f>
        <v>-1.244</v>
      </c>
      <c r="M15" s="128"/>
      <c r="N15" s="55">
        <f t="shared" si="1"/>
        <v>-11.003</v>
      </c>
      <c r="O15" s="128"/>
      <c r="P15" s="55">
        <f>SUM(P7:P14)</f>
        <v>0.372</v>
      </c>
      <c r="Q15" s="55">
        <f>SUM(Q7:Q14)</f>
        <v>-0.89800000000000002</v>
      </c>
      <c r="R15" s="55">
        <f>SUM(R7:R14)</f>
        <v>-5.7000000000000002E-2</v>
      </c>
      <c r="S15" s="55">
        <f>SUM(S7:S14)</f>
        <v>-0.76000000000000023</v>
      </c>
      <c r="T15" s="128"/>
      <c r="U15" s="55">
        <f t="shared" si="3"/>
        <v>-1.3430000000000004</v>
      </c>
      <c r="W15" s="55">
        <f>SUM(W7:W14)</f>
        <v>-0.70300000000000007</v>
      </c>
      <c r="X15" s="55">
        <f>SUM(X7:X14)</f>
        <v>-0.92999999999999994</v>
      </c>
      <c r="Y15" s="55">
        <f>SUM(Y7:Y14)</f>
        <v>-1.0130000000000001</v>
      </c>
      <c r="Z15" s="55">
        <f>SUM(Z7:Z14)</f>
        <v>0.65399999999999991</v>
      </c>
      <c r="AB15" s="55">
        <f>SUM(AB7:AB14)</f>
        <v>-1.992</v>
      </c>
      <c r="AD15" s="55">
        <f>SUM(AD7:AD14)</f>
        <v>-1.111</v>
      </c>
      <c r="AE15" s="55">
        <f>SUM(AE7:AE14)</f>
        <v>-3.4309999999999996</v>
      </c>
      <c r="AF15" s="55">
        <f>SUM(AF7:AF14)</f>
        <v>-3.4159999999999999</v>
      </c>
      <c r="AH15" s="55">
        <f>SUM(AH7:AH14)</f>
        <v>-7.9579999999999993</v>
      </c>
    </row>
    <row r="16" spans="1:34" s="51" customFormat="1" ht="16.75">
      <c r="A16" s="44"/>
      <c r="B16" s="55"/>
      <c r="C16" s="55"/>
      <c r="D16" s="55"/>
      <c r="E16" s="55"/>
      <c r="F16" s="128"/>
      <c r="G16" s="55"/>
      <c r="H16" s="128"/>
      <c r="I16" s="55"/>
      <c r="J16" s="55"/>
      <c r="K16" s="55"/>
      <c r="L16" s="55"/>
      <c r="M16" s="128"/>
      <c r="N16" s="55"/>
      <c r="O16" s="128"/>
      <c r="P16" s="55"/>
      <c r="Q16" s="55"/>
      <c r="R16" s="55"/>
      <c r="S16" s="55"/>
      <c r="T16" s="128"/>
      <c r="U16" s="55"/>
      <c r="W16" s="55"/>
      <c r="X16" s="55"/>
      <c r="Y16" s="55"/>
      <c r="Z16" s="55"/>
      <c r="AB16" s="55"/>
      <c r="AD16" s="55"/>
      <c r="AE16" s="55"/>
      <c r="AF16" s="55"/>
      <c r="AH16" s="55"/>
    </row>
    <row r="17" spans="1:34" s="51" customFormat="1" ht="16.75">
      <c r="A17" s="70" t="s">
        <v>184</v>
      </c>
    </row>
    <row r="18" spans="1:34" s="46" customFormat="1" ht="16.75">
      <c r="A18" s="44" t="s">
        <v>185</v>
      </c>
      <c r="B18" s="55">
        <v>0.34699999999999998</v>
      </c>
      <c r="C18" s="55">
        <v>8.3450000000000006</v>
      </c>
      <c r="D18" s="55">
        <v>1.0840000000000001</v>
      </c>
      <c r="E18" s="55">
        <v>-2.839</v>
      </c>
      <c r="F18" s="128"/>
      <c r="G18" s="55">
        <f>+B18+C18+D18+E18</f>
        <v>6.9369999999999994</v>
      </c>
      <c r="H18" s="128"/>
      <c r="I18" s="55">
        <v>-7.1999999999999995E-2</v>
      </c>
      <c r="J18" s="55">
        <v>4.2009999999999996</v>
      </c>
      <c r="K18" s="55">
        <v>9.3490000000000002</v>
      </c>
      <c r="L18" s="55">
        <v>10.375</v>
      </c>
      <c r="M18" s="128"/>
      <c r="N18" s="55">
        <f>+I18+J18+K18+L18</f>
        <v>23.853000000000002</v>
      </c>
      <c r="O18" s="128"/>
      <c r="P18" s="55">
        <v>0.29599999999999999</v>
      </c>
      <c r="Q18" s="55">
        <v>2.8479999999999999</v>
      </c>
      <c r="R18" s="55">
        <v>17.395</v>
      </c>
      <c r="S18" s="55">
        <v>18.564</v>
      </c>
      <c r="T18" s="128"/>
      <c r="U18" s="55">
        <f>SUM(P18:T18)</f>
        <v>39.102999999999994</v>
      </c>
      <c r="W18" s="55">
        <v>4.3630000000000004</v>
      </c>
      <c r="X18" s="55">
        <v>-2.544</v>
      </c>
      <c r="Y18" s="55">
        <v>12.952999999999999</v>
      </c>
      <c r="Z18" s="55">
        <v>6.8659999999999997</v>
      </c>
      <c r="AB18" s="55">
        <f>W18+X18+Y18+Z18</f>
        <v>21.637999999999998</v>
      </c>
      <c r="AD18" s="55">
        <v>7.9550000000000001</v>
      </c>
      <c r="AE18" s="55">
        <v>4.2539999999999996</v>
      </c>
      <c r="AF18" s="55">
        <v>-10.676</v>
      </c>
      <c r="AH18" s="55">
        <f>SUM(AD18:AF18)</f>
        <v>1.5329999999999995</v>
      </c>
    </row>
    <row r="19" spans="1:34" s="46" customFormat="1" ht="16.75">
      <c r="A19" s="44" t="s">
        <v>186</v>
      </c>
      <c r="B19" s="79">
        <v>-2.5000000000000001E-2</v>
      </c>
      <c r="C19" s="79">
        <v>-8.141</v>
      </c>
      <c r="D19" s="79">
        <v>-1.0660000000000001</v>
      </c>
      <c r="E19" s="79">
        <v>0.111</v>
      </c>
      <c r="F19" s="154"/>
      <c r="G19" s="79">
        <v>-0.16600000000000001</v>
      </c>
      <c r="H19" s="154"/>
      <c r="I19" s="79">
        <v>-7.0999999999999994E-2</v>
      </c>
      <c r="J19" s="79">
        <v>0.441</v>
      </c>
      <c r="K19" s="79">
        <v>0.40899999999999997</v>
      </c>
      <c r="L19" s="79">
        <v>1.6970000000000001</v>
      </c>
      <c r="M19" s="154"/>
      <c r="N19" s="79">
        <v>0.60399999999999998</v>
      </c>
      <c r="O19" s="154"/>
      <c r="P19" s="79">
        <v>0.34</v>
      </c>
      <c r="Q19" s="79">
        <v>4.6539999999999999</v>
      </c>
      <c r="R19" s="79">
        <v>0.80500000000000005</v>
      </c>
      <c r="S19" s="79">
        <v>0.58599999999999997</v>
      </c>
      <c r="T19" s="154"/>
      <c r="U19" s="79">
        <v>0.71399999999999997</v>
      </c>
      <c r="W19" s="79">
        <v>0.54600000000000004</v>
      </c>
      <c r="X19" s="79">
        <v>0.30499999999999999</v>
      </c>
      <c r="Y19" s="79">
        <v>0.502</v>
      </c>
      <c r="Z19" s="79">
        <v>0.192</v>
      </c>
      <c r="AA19" s="75"/>
      <c r="AB19" s="79">
        <v>0.35299999999999998</v>
      </c>
      <c r="AD19" s="79">
        <v>0.34100000000000003</v>
      </c>
      <c r="AE19" s="79">
        <v>0.42599999999999999</v>
      </c>
      <c r="AF19" s="79">
        <v>-0.58199999999999996</v>
      </c>
      <c r="AH19" s="79">
        <v>0.03</v>
      </c>
    </row>
    <row r="20" spans="1:34" s="51" customFormat="1" ht="16.75">
      <c r="A20" s="289" t="s">
        <v>312</v>
      </c>
      <c r="B20" s="97">
        <v>2.0369999999999999</v>
      </c>
      <c r="C20" s="97">
        <v>-3.4220000000000002</v>
      </c>
      <c r="D20" s="97">
        <v>3.5579999999999998</v>
      </c>
      <c r="E20" s="97">
        <v>7.0519999999999996</v>
      </c>
      <c r="F20" s="83"/>
      <c r="G20" s="97">
        <f>+B20+C20+D20+E20</f>
        <v>9.2249999999999996</v>
      </c>
      <c r="H20" s="83"/>
      <c r="I20" s="98">
        <v>3.74</v>
      </c>
      <c r="J20" s="98">
        <v>0.88700000000000001</v>
      </c>
      <c r="K20" s="98">
        <v>-2.5590000000000002</v>
      </c>
      <c r="L20" s="98">
        <v>-4.3550000000000004</v>
      </c>
      <c r="M20" s="83"/>
      <c r="N20" s="98">
        <f>+I20+J20+K20+L20</f>
        <v>-2.2869999999999999</v>
      </c>
      <c r="O20" s="83"/>
      <c r="P20" s="98">
        <v>4.2220000000000004</v>
      </c>
      <c r="Q20" s="98">
        <v>1.87</v>
      </c>
      <c r="R20" s="98">
        <v>-11.295999999999999</v>
      </c>
      <c r="S20" s="98">
        <v>-14.723000000000001</v>
      </c>
      <c r="T20" s="83"/>
      <c r="U20" s="98">
        <f>SUM(P20:T20)</f>
        <v>-19.927</v>
      </c>
      <c r="W20" s="98">
        <v>-0.28199999999999997</v>
      </c>
      <c r="X20" s="98">
        <v>6.1360000000000001</v>
      </c>
      <c r="Y20" s="98">
        <v>-8.64</v>
      </c>
      <c r="Z20" s="98">
        <v>-0.8</v>
      </c>
      <c r="AB20" s="98">
        <f>W20+X20+Y20+Z20</f>
        <v>-3.5860000000000003</v>
      </c>
      <c r="AD20" s="98">
        <v>-1.778</v>
      </c>
      <c r="AE20" s="98">
        <v>0.82499999999999996</v>
      </c>
      <c r="AF20" s="98">
        <v>14.677</v>
      </c>
      <c r="AH20" s="98">
        <f>SUM(AD20:AF20)</f>
        <v>13.724</v>
      </c>
    </row>
    <row r="21" spans="1:34" s="51" customFormat="1" ht="16.75">
      <c r="A21" s="44" t="s">
        <v>187</v>
      </c>
      <c r="B21" s="55">
        <f>+B18+B20</f>
        <v>2.3839999999999999</v>
      </c>
      <c r="C21" s="55">
        <f>+C18+C20</f>
        <v>4.923</v>
      </c>
      <c r="D21" s="55">
        <f>+D18+D20</f>
        <v>4.6419999999999995</v>
      </c>
      <c r="E21" s="55">
        <f>+E18+E20</f>
        <v>4.2129999999999992</v>
      </c>
      <c r="F21" s="128"/>
      <c r="G21" s="55">
        <f>+G18+G20</f>
        <v>16.161999999999999</v>
      </c>
      <c r="H21" s="128"/>
      <c r="I21" s="55">
        <f>+I18+I20</f>
        <v>3.6680000000000001</v>
      </c>
      <c r="J21" s="55">
        <f>+J18+J20</f>
        <v>5.0879999999999992</v>
      </c>
      <c r="K21" s="55">
        <f>+K18+K20</f>
        <v>6.79</v>
      </c>
      <c r="L21" s="55">
        <f>+L18+L20</f>
        <v>6.02</v>
      </c>
      <c r="M21" s="128"/>
      <c r="N21" s="55">
        <f>+I21+J21+K21+L21</f>
        <v>21.565999999999999</v>
      </c>
      <c r="O21" s="128"/>
      <c r="P21" s="55">
        <f>+P18+P20</f>
        <v>4.5180000000000007</v>
      </c>
      <c r="Q21" s="55">
        <f>+Q18+Q20</f>
        <v>4.718</v>
      </c>
      <c r="R21" s="55">
        <f>+R18+R20</f>
        <v>6.0990000000000002</v>
      </c>
      <c r="S21" s="55">
        <f>+S18+S20</f>
        <v>3.8409999999999993</v>
      </c>
      <c r="T21" s="128"/>
      <c r="U21" s="55">
        <f>SUM(P21:T21)</f>
        <v>19.176000000000002</v>
      </c>
      <c r="W21" s="55">
        <f>+W18+W20</f>
        <v>4.0810000000000004</v>
      </c>
      <c r="X21" s="55">
        <f>+X18+X20</f>
        <v>3.5920000000000001</v>
      </c>
      <c r="Y21" s="55">
        <f>+Y18+Y20</f>
        <v>4.3129999999999988</v>
      </c>
      <c r="Z21" s="55">
        <f>+Z18+Z20</f>
        <v>6.0659999999999998</v>
      </c>
      <c r="AB21" s="55">
        <f>+AB18+AB20</f>
        <v>18.052</v>
      </c>
      <c r="AD21" s="55">
        <f>+AD18+AD20</f>
        <v>6.1769999999999996</v>
      </c>
      <c r="AE21" s="55">
        <f>+AE18+AE20</f>
        <v>5.0789999999999997</v>
      </c>
      <c r="AF21" s="55">
        <f>+AF18+AF20</f>
        <v>4.0009999999999994</v>
      </c>
      <c r="AH21" s="55">
        <f>+AH18+AH20</f>
        <v>15.257</v>
      </c>
    </row>
    <row r="22" spans="1:34" s="46" customFormat="1" ht="16.75">
      <c r="A22" s="44" t="s">
        <v>188</v>
      </c>
      <c r="B22" s="79">
        <v>8.3000000000000004E-2</v>
      </c>
      <c r="C22" s="79">
        <v>8.3000000000000004E-2</v>
      </c>
      <c r="D22" s="79">
        <v>8.3000000000000004E-2</v>
      </c>
      <c r="E22" s="79">
        <v>8.3000000000000004E-2</v>
      </c>
      <c r="F22" s="154"/>
      <c r="G22" s="79">
        <v>8.3000000000000004E-2</v>
      </c>
      <c r="H22" s="154"/>
      <c r="I22" s="79">
        <v>9.9000000000000005E-2</v>
      </c>
      <c r="J22" s="79">
        <v>0.10299999999999999</v>
      </c>
      <c r="K22" s="79">
        <v>0.114</v>
      </c>
      <c r="L22" s="79">
        <v>0.12</v>
      </c>
      <c r="M22" s="154"/>
      <c r="N22" s="79">
        <v>0.11</v>
      </c>
      <c r="O22" s="154"/>
      <c r="P22" s="79">
        <v>0.10199999999999999</v>
      </c>
      <c r="Q22" s="79">
        <v>0.10100000000000001</v>
      </c>
      <c r="R22" s="79">
        <v>0.104</v>
      </c>
      <c r="S22" s="79">
        <v>6.3E-2</v>
      </c>
      <c r="T22" s="154"/>
      <c r="U22" s="79">
        <v>9.0999999999999998E-2</v>
      </c>
      <c r="W22" s="79">
        <v>9.1999999999999998E-2</v>
      </c>
      <c r="X22" s="79">
        <v>0.09</v>
      </c>
      <c r="Y22" s="79">
        <v>8.2000000000000003E-2</v>
      </c>
      <c r="Z22" s="79">
        <v>7.1999999999999995E-2</v>
      </c>
      <c r="AA22" s="75"/>
      <c r="AB22" s="79">
        <v>8.2000000000000003E-2</v>
      </c>
      <c r="AD22" s="79">
        <v>0.126</v>
      </c>
      <c r="AE22" s="79">
        <v>0.124</v>
      </c>
      <c r="AF22" s="79">
        <v>9.1999999999999998E-2</v>
      </c>
      <c r="AH22" s="79">
        <v>0.115</v>
      </c>
    </row>
    <row r="23" spans="1:34" s="51" customFormat="1" ht="16.75"/>
    <row r="24" spans="1:34" s="51" customFormat="1" ht="33.5">
      <c r="A24" s="99" t="s">
        <v>189</v>
      </c>
    </row>
    <row r="25" spans="1:34" s="46" customFormat="1" ht="33.5">
      <c r="A25" s="80" t="s">
        <v>190</v>
      </c>
      <c r="B25" s="55">
        <v>-14.657999999999999</v>
      </c>
      <c r="C25" s="55">
        <v>-12.180999999999999</v>
      </c>
      <c r="D25" s="55">
        <v>-5.0679999999999996</v>
      </c>
      <c r="E25" s="55">
        <v>-25.402999999999999</v>
      </c>
      <c r="F25" s="128"/>
      <c r="G25" s="55">
        <f>+B25+C25+D25+E25</f>
        <v>-57.309999999999995</v>
      </c>
      <c r="H25" s="128"/>
      <c r="I25" s="55">
        <v>-2.5230000000000001</v>
      </c>
      <c r="J25" s="55">
        <v>-0.2</v>
      </c>
      <c r="K25" s="55">
        <v>8.0370000000000008</v>
      </c>
      <c r="L25" s="55">
        <v>-9.8230000000000004</v>
      </c>
      <c r="M25" s="128"/>
      <c r="N25" s="55">
        <f>+I25+J25+K25+L25</f>
        <v>-4.5090000000000003</v>
      </c>
      <c r="O25" s="128"/>
      <c r="P25" s="55">
        <v>-4.9139999999999997</v>
      </c>
      <c r="Q25" s="55">
        <v>-7.6120000000000001</v>
      </c>
      <c r="R25" s="55">
        <v>-1.1240000000000001</v>
      </c>
      <c r="S25" s="55">
        <v>7.7480000000000002</v>
      </c>
      <c r="T25" s="128"/>
      <c r="U25" s="55">
        <v>-5.9020000000000001</v>
      </c>
      <c r="W25" s="55">
        <v>-1.905</v>
      </c>
      <c r="X25" s="55">
        <v>-11.2</v>
      </c>
      <c r="Y25" s="55">
        <v>7.4119999999999999</v>
      </c>
      <c r="Z25" s="55">
        <v>23.503</v>
      </c>
      <c r="AB25" s="55">
        <v>17.809999999999999</v>
      </c>
      <c r="AD25" s="55">
        <v>10.041</v>
      </c>
      <c r="AE25" s="55">
        <v>1.4510000000000001</v>
      </c>
      <c r="AF25" s="55">
        <v>24.716000000000001</v>
      </c>
      <c r="AH25" s="55">
        <v>36.207999999999998</v>
      </c>
    </row>
    <row r="26" spans="1:34" s="51" customFormat="1" ht="16.75">
      <c r="A26" s="48" t="s">
        <v>191</v>
      </c>
      <c r="B26" s="97">
        <v>40.694000000000003</v>
      </c>
      <c r="C26" s="97">
        <v>66.064999999999998</v>
      </c>
      <c r="D26" s="97">
        <v>55.872999999999998</v>
      </c>
      <c r="E26" s="97">
        <v>71.63</v>
      </c>
      <c r="F26" s="83"/>
      <c r="G26" s="97">
        <f>+B26+C26+D26+E26</f>
        <v>234.262</v>
      </c>
      <c r="H26" s="83"/>
      <c r="I26" s="98">
        <v>35.557000000000002</v>
      </c>
      <c r="J26" s="98">
        <v>44.417999999999999</v>
      </c>
      <c r="K26" s="98">
        <v>44.429000000000002</v>
      </c>
      <c r="L26" s="98">
        <v>53.517000000000003</v>
      </c>
      <c r="M26" s="83"/>
      <c r="N26" s="98">
        <v>177.92099999999999</v>
      </c>
      <c r="O26" s="83"/>
      <c r="P26" s="98">
        <v>39.119</v>
      </c>
      <c r="Q26" s="98">
        <v>49.494</v>
      </c>
      <c r="R26" s="98">
        <v>53.412999999999997</v>
      </c>
      <c r="S26" s="98">
        <v>49.215000000000003</v>
      </c>
      <c r="T26" s="83"/>
      <c r="U26" s="98">
        <v>196.441</v>
      </c>
      <c r="W26" s="98">
        <v>36.712000000000003</v>
      </c>
      <c r="X26" s="98">
        <v>42.128</v>
      </c>
      <c r="Y26" s="98">
        <v>40.572000000000003</v>
      </c>
      <c r="Z26" s="98">
        <v>53.957000000000001</v>
      </c>
      <c r="AB26" s="98">
        <v>183.76900000000001</v>
      </c>
      <c r="AD26" s="98">
        <v>32.515999999999998</v>
      </c>
      <c r="AE26" s="98">
        <v>34.098999999999997</v>
      </c>
      <c r="AF26" s="98">
        <v>14.481999999999999</v>
      </c>
      <c r="AH26" s="98">
        <v>81.096999999999994</v>
      </c>
    </row>
    <row r="27" spans="1:34" s="51" customFormat="1" ht="33.5">
      <c r="A27" s="80" t="s">
        <v>192</v>
      </c>
      <c r="B27" s="55">
        <f>SUM(B25:B26)</f>
        <v>26.036000000000001</v>
      </c>
      <c r="C27" s="55">
        <f>SUM(C25:C26)</f>
        <v>53.884</v>
      </c>
      <c r="D27" s="55">
        <f>SUM(D25:D26)</f>
        <v>50.805</v>
      </c>
      <c r="E27" s="55">
        <f>SUM(E25:E26)</f>
        <v>46.226999999999997</v>
      </c>
      <c r="F27" s="128"/>
      <c r="G27" s="55">
        <f>+B27+C27+D27+E27</f>
        <v>176.952</v>
      </c>
      <c r="H27" s="128"/>
      <c r="I27" s="55">
        <f>SUM(I25:I26)</f>
        <v>33.033999999999999</v>
      </c>
      <c r="J27" s="55">
        <f>SUM(J25:J26)</f>
        <v>44.217999999999996</v>
      </c>
      <c r="K27" s="55">
        <f>SUM(K25:K26)</f>
        <v>52.466000000000001</v>
      </c>
      <c r="L27" s="55">
        <f>SUM(L25:L26)</f>
        <v>43.694000000000003</v>
      </c>
      <c r="M27" s="128"/>
      <c r="N27" s="55">
        <f>SUM(N25:N26)</f>
        <v>173.41199999999998</v>
      </c>
      <c r="O27" s="128"/>
      <c r="P27" s="55">
        <f>SUM(P25:P26)</f>
        <v>34.204999999999998</v>
      </c>
      <c r="Q27" s="55">
        <f>SUM(Q25:Q26)</f>
        <v>41.881999999999998</v>
      </c>
      <c r="R27" s="55">
        <f>SUM(R25:R26)</f>
        <v>52.288999999999994</v>
      </c>
      <c r="S27" s="55">
        <f>SUM(S25:S26)</f>
        <v>56.963000000000001</v>
      </c>
      <c r="T27" s="128"/>
      <c r="U27" s="55">
        <f>SUM(U25:U26)</f>
        <v>190.53900000000002</v>
      </c>
      <c r="W27" s="55">
        <f>SUM(W25:W26)</f>
        <v>34.807000000000002</v>
      </c>
      <c r="X27" s="55">
        <f>SUM(X25:X26)</f>
        <v>30.928000000000001</v>
      </c>
      <c r="Y27" s="55">
        <f>SUM(Y25:Y26)</f>
        <v>47.984000000000002</v>
      </c>
      <c r="Z27" s="55">
        <f>SUM(Z25:Z26)</f>
        <v>77.460000000000008</v>
      </c>
      <c r="AB27" s="55">
        <f>SUM(AB25:AB26)</f>
        <v>201.57900000000001</v>
      </c>
      <c r="AD27" s="55">
        <f>SUM(AD25:AD26)</f>
        <v>42.557000000000002</v>
      </c>
      <c r="AE27" s="55">
        <f>SUM(AE25:AE26)</f>
        <v>35.549999999999997</v>
      </c>
      <c r="AF27" s="55">
        <f>SUM(AF25:AF26)</f>
        <v>39.198</v>
      </c>
      <c r="AH27" s="55">
        <f>SUM(AH25:AH26)</f>
        <v>117.30499999999999</v>
      </c>
    </row>
    <row r="28" spans="1:34" s="51" customFormat="1" ht="16.75">
      <c r="A28" s="44"/>
    </row>
    <row r="29" spans="1:34">
      <c r="A29" s="38"/>
      <c r="I29" s="37"/>
      <c r="J29" s="37"/>
      <c r="K29" s="37"/>
      <c r="L29" s="37"/>
      <c r="N29" s="37"/>
      <c r="P29" s="37"/>
      <c r="Q29" s="37"/>
      <c r="R29" s="37"/>
      <c r="S29" s="37"/>
      <c r="U29" s="37"/>
      <c r="AB29" s="37"/>
      <c r="AH29" s="37"/>
    </row>
    <row r="30" spans="1:34">
      <c r="A30" s="38"/>
      <c r="I30" s="37"/>
      <c r="J30" s="37"/>
      <c r="K30" s="37"/>
      <c r="L30" s="37"/>
      <c r="N30" s="37"/>
      <c r="P30" s="37"/>
      <c r="Q30" s="37"/>
      <c r="R30" s="37"/>
      <c r="S30" s="37"/>
      <c r="U30" s="37"/>
      <c r="AB30" s="37"/>
      <c r="AH30" s="37"/>
    </row>
    <row r="31" spans="1:34">
      <c r="A31" s="38"/>
      <c r="I31" s="37"/>
      <c r="J31" s="37"/>
      <c r="K31" s="37"/>
      <c r="L31" s="37"/>
      <c r="N31" s="37"/>
      <c r="P31" s="37"/>
      <c r="Q31" s="37"/>
      <c r="R31" s="37"/>
      <c r="S31" s="37"/>
      <c r="U31" s="37"/>
      <c r="AB31" s="37"/>
      <c r="AH31" s="37"/>
    </row>
    <row r="32" spans="1:34">
      <c r="A32" s="38"/>
      <c r="I32" s="37"/>
      <c r="J32" s="37"/>
      <c r="K32" s="37"/>
      <c r="L32" s="37"/>
      <c r="N32" s="37"/>
      <c r="P32" s="37"/>
      <c r="Q32" s="37"/>
      <c r="R32" s="37"/>
      <c r="S32" s="37"/>
      <c r="U32" s="37"/>
      <c r="AB32" s="37"/>
      <c r="AH32" s="37"/>
    </row>
    <row r="33" spans="1:34">
      <c r="A33" s="38"/>
      <c r="I33" s="37"/>
      <c r="J33" s="37"/>
      <c r="K33" s="37"/>
      <c r="L33" s="37"/>
      <c r="N33" s="37"/>
      <c r="P33" s="37"/>
      <c r="Q33" s="37"/>
      <c r="R33" s="37"/>
      <c r="S33" s="37"/>
      <c r="U33" s="37"/>
      <c r="AB33" s="37"/>
      <c r="AH33" s="37"/>
    </row>
    <row r="34" spans="1:34">
      <c r="A34" s="38"/>
      <c r="I34" s="37"/>
      <c r="J34" s="37"/>
      <c r="K34" s="37"/>
      <c r="L34" s="37"/>
      <c r="N34" s="37"/>
      <c r="P34" s="37"/>
      <c r="Q34" s="37"/>
      <c r="R34" s="37"/>
      <c r="S34" s="37"/>
      <c r="U34" s="37"/>
      <c r="AB34" s="37"/>
      <c r="AH34" s="37"/>
    </row>
    <row r="35" spans="1:34">
      <c r="A35" s="38"/>
      <c r="I35" s="37"/>
      <c r="J35" s="37"/>
      <c r="K35" s="37"/>
      <c r="L35" s="37"/>
      <c r="N35" s="37"/>
      <c r="P35" s="37"/>
      <c r="Q35" s="37"/>
      <c r="R35" s="37"/>
      <c r="S35" s="37"/>
      <c r="U35" s="37"/>
      <c r="AB35" s="37"/>
      <c r="AH35" s="37"/>
    </row>
    <row r="36" spans="1:34">
      <c r="A36" s="38"/>
      <c r="I36" s="37"/>
      <c r="J36" s="37"/>
      <c r="K36" s="37"/>
      <c r="L36" s="37"/>
      <c r="N36" s="37"/>
      <c r="P36" s="37"/>
      <c r="Q36" s="37"/>
      <c r="R36" s="37"/>
      <c r="S36" s="37"/>
      <c r="U36" s="37"/>
      <c r="AB36" s="37"/>
      <c r="AH36" s="37"/>
    </row>
    <row r="37" spans="1:34">
      <c r="A37" s="38"/>
      <c r="I37" s="37"/>
      <c r="J37" s="37"/>
      <c r="K37" s="37"/>
      <c r="L37" s="37"/>
      <c r="N37" s="37"/>
      <c r="P37" s="37"/>
      <c r="Q37" s="37"/>
      <c r="R37" s="37"/>
      <c r="S37" s="37"/>
      <c r="U37" s="37"/>
      <c r="AB37" s="37"/>
      <c r="AH37" s="37"/>
    </row>
    <row r="38" spans="1:34">
      <c r="A38" s="38"/>
      <c r="I38" s="37"/>
      <c r="J38" s="37"/>
      <c r="K38" s="37"/>
      <c r="L38" s="37"/>
      <c r="N38" s="37"/>
      <c r="P38" s="37"/>
      <c r="Q38" s="37"/>
      <c r="R38" s="37"/>
      <c r="S38" s="37"/>
      <c r="U38" s="37"/>
      <c r="AB38" s="37"/>
      <c r="AH38" s="37"/>
    </row>
    <row r="39" spans="1:34">
      <c r="A39" s="38"/>
      <c r="I39" s="37"/>
      <c r="J39" s="37"/>
      <c r="K39" s="37"/>
      <c r="L39" s="37"/>
      <c r="N39" s="37"/>
      <c r="P39" s="37"/>
      <c r="Q39" s="37"/>
      <c r="R39" s="37"/>
      <c r="S39" s="37"/>
      <c r="U39" s="37"/>
      <c r="AB39" s="37"/>
      <c r="AH39" s="37"/>
    </row>
    <row r="40" spans="1:34">
      <c r="A40" s="38"/>
      <c r="I40" s="37"/>
      <c r="J40" s="37"/>
      <c r="K40" s="37"/>
      <c r="L40" s="37"/>
      <c r="N40" s="37"/>
      <c r="P40" s="37"/>
      <c r="Q40" s="37"/>
      <c r="R40" s="37"/>
      <c r="S40" s="37"/>
      <c r="U40" s="37"/>
      <c r="AB40" s="37"/>
      <c r="AH40" s="37"/>
    </row>
    <row r="41" spans="1:34">
      <c r="A41" s="38"/>
      <c r="I41" s="37"/>
      <c r="J41" s="37"/>
      <c r="K41" s="37"/>
      <c r="L41" s="37"/>
      <c r="N41" s="37"/>
      <c r="P41" s="37"/>
      <c r="Q41" s="37"/>
      <c r="R41" s="37"/>
      <c r="S41" s="37"/>
      <c r="U41" s="37"/>
      <c r="AB41" s="37"/>
      <c r="AH41" s="37"/>
    </row>
    <row r="42" spans="1:34">
      <c r="A42" s="38"/>
      <c r="I42" s="37"/>
      <c r="J42" s="37"/>
      <c r="K42" s="37"/>
      <c r="L42" s="37"/>
      <c r="N42" s="37"/>
      <c r="P42" s="37"/>
      <c r="Q42" s="37"/>
      <c r="R42" s="37"/>
      <c r="S42" s="37"/>
      <c r="U42" s="37"/>
      <c r="AB42" s="37"/>
      <c r="AH42" s="37"/>
    </row>
    <row r="43" spans="1:34">
      <c r="A43" s="38"/>
      <c r="I43" s="37"/>
      <c r="J43" s="37"/>
      <c r="K43" s="37"/>
      <c r="L43" s="37"/>
      <c r="N43" s="37"/>
      <c r="P43" s="37"/>
      <c r="Q43" s="37"/>
      <c r="R43" s="37"/>
      <c r="S43" s="37"/>
      <c r="U43" s="37"/>
      <c r="AB43" s="37"/>
      <c r="AH43" s="37"/>
    </row>
    <row r="44" spans="1:34">
      <c r="A44" s="95"/>
      <c r="I44" s="37"/>
      <c r="J44" s="37"/>
      <c r="K44" s="37"/>
      <c r="L44" s="37"/>
      <c r="N44" s="37"/>
      <c r="P44" s="37"/>
      <c r="Q44" s="37"/>
      <c r="R44" s="37"/>
      <c r="S44" s="37"/>
      <c r="U44" s="37"/>
      <c r="AB44" s="37"/>
      <c r="AH44" s="37"/>
    </row>
    <row r="45" spans="1:34">
      <c r="A45" s="95"/>
      <c r="I45" s="37"/>
      <c r="J45" s="37"/>
      <c r="K45" s="37"/>
      <c r="L45" s="37"/>
      <c r="N45" s="37"/>
      <c r="P45" s="37"/>
      <c r="Q45" s="37"/>
      <c r="R45" s="37"/>
      <c r="S45" s="37"/>
      <c r="U45" s="37"/>
      <c r="AB45" s="37"/>
      <c r="AH45" s="37"/>
    </row>
    <row r="46" spans="1:34">
      <c r="A46" s="95"/>
      <c r="I46" s="37"/>
      <c r="J46" s="37"/>
      <c r="K46" s="37"/>
      <c r="L46" s="37"/>
      <c r="N46" s="37"/>
      <c r="P46" s="37"/>
      <c r="Q46" s="37"/>
      <c r="R46" s="37"/>
      <c r="S46" s="37"/>
      <c r="U46" s="37"/>
      <c r="AB46" s="37"/>
      <c r="AH46" s="37"/>
    </row>
    <row r="47" spans="1:34">
      <c r="A47" s="95"/>
      <c r="I47" s="37"/>
      <c r="J47" s="37"/>
      <c r="K47" s="37"/>
      <c r="L47" s="37"/>
      <c r="N47" s="37"/>
      <c r="P47" s="37"/>
      <c r="Q47" s="37"/>
      <c r="R47" s="37"/>
      <c r="S47" s="37"/>
      <c r="U47" s="37"/>
      <c r="AB47" s="37"/>
      <c r="AH47" s="37"/>
    </row>
    <row r="48" spans="1:34">
      <c r="A48" s="95"/>
      <c r="I48" s="37"/>
      <c r="J48" s="37"/>
      <c r="K48" s="37"/>
      <c r="L48" s="37"/>
      <c r="N48" s="37"/>
      <c r="P48" s="37"/>
      <c r="Q48" s="37"/>
      <c r="R48" s="37"/>
      <c r="S48" s="37"/>
      <c r="U48" s="37"/>
      <c r="AB48" s="37"/>
      <c r="AH48" s="37"/>
    </row>
    <row r="49" spans="1:34">
      <c r="A49" s="95"/>
      <c r="I49" s="37"/>
      <c r="J49" s="37"/>
      <c r="K49" s="37"/>
      <c r="L49" s="37"/>
      <c r="N49" s="37"/>
      <c r="P49" s="37"/>
      <c r="Q49" s="37"/>
      <c r="R49" s="37"/>
      <c r="S49" s="37"/>
      <c r="U49" s="37"/>
      <c r="AB49" s="37"/>
      <c r="AH49" s="37"/>
    </row>
    <row r="50" spans="1:34">
      <c r="A50" s="95"/>
      <c r="I50" s="37"/>
      <c r="J50" s="37"/>
      <c r="K50" s="37"/>
      <c r="L50" s="37"/>
      <c r="N50" s="37"/>
      <c r="P50" s="37"/>
      <c r="Q50" s="37"/>
      <c r="R50" s="37"/>
      <c r="S50" s="37"/>
      <c r="U50" s="37"/>
      <c r="AB50" s="37"/>
      <c r="AH50" s="37"/>
    </row>
    <row r="51" spans="1:34">
      <c r="A51" s="95"/>
      <c r="I51" s="37"/>
      <c r="J51" s="37"/>
      <c r="K51" s="37"/>
      <c r="L51" s="37"/>
      <c r="N51" s="37"/>
      <c r="P51" s="37"/>
      <c r="Q51" s="37"/>
      <c r="R51" s="37"/>
      <c r="S51" s="37"/>
      <c r="U51" s="37"/>
      <c r="AB51" s="37"/>
      <c r="AH51" s="37"/>
    </row>
    <row r="52" spans="1:34">
      <c r="A52" s="95"/>
      <c r="I52" s="37"/>
      <c r="J52" s="37"/>
      <c r="K52" s="37"/>
      <c r="L52" s="37"/>
      <c r="N52" s="37"/>
      <c r="P52" s="37"/>
      <c r="Q52" s="37"/>
      <c r="R52" s="37"/>
      <c r="S52" s="37"/>
      <c r="U52" s="37"/>
      <c r="AB52" s="37"/>
      <c r="AH52" s="37"/>
    </row>
    <row r="53" spans="1:34">
      <c r="A53" s="95"/>
      <c r="I53" s="37"/>
      <c r="J53" s="37"/>
      <c r="K53" s="37"/>
      <c r="L53" s="37"/>
      <c r="N53" s="37"/>
      <c r="P53" s="37"/>
      <c r="Q53" s="37"/>
      <c r="R53" s="37"/>
      <c r="S53" s="37"/>
      <c r="U53" s="37"/>
      <c r="AB53" s="37"/>
      <c r="AH53" s="37"/>
    </row>
    <row r="54" spans="1:34">
      <c r="A54" s="95"/>
      <c r="I54" s="37"/>
      <c r="J54" s="37"/>
      <c r="K54" s="37"/>
      <c r="L54" s="37"/>
      <c r="N54" s="37"/>
      <c r="P54" s="37"/>
      <c r="Q54" s="37"/>
      <c r="R54" s="37"/>
      <c r="S54" s="37"/>
      <c r="U54" s="37"/>
      <c r="AB54" s="37"/>
      <c r="AH54" s="37"/>
    </row>
    <row r="55" spans="1:34">
      <c r="A55" s="95"/>
      <c r="I55" s="37"/>
      <c r="J55" s="37"/>
      <c r="K55" s="37"/>
      <c r="L55" s="37"/>
      <c r="N55" s="37"/>
      <c r="P55" s="37"/>
      <c r="Q55" s="37"/>
      <c r="R55" s="37"/>
      <c r="S55" s="37"/>
      <c r="U55" s="37"/>
      <c r="AB55" s="37"/>
      <c r="AH55" s="37"/>
    </row>
    <row r="56" spans="1:34">
      <c r="A56" s="95"/>
      <c r="I56" s="37"/>
      <c r="J56" s="37"/>
      <c r="K56" s="37"/>
      <c r="L56" s="37"/>
      <c r="N56" s="37"/>
      <c r="P56" s="37"/>
      <c r="Q56" s="37"/>
      <c r="R56" s="37"/>
      <c r="S56" s="37"/>
      <c r="U56" s="37"/>
      <c r="AB56" s="37"/>
      <c r="AH56" s="37"/>
    </row>
    <row r="57" spans="1:34">
      <c r="A57" s="95"/>
      <c r="I57" s="37"/>
      <c r="J57" s="37"/>
      <c r="K57" s="37"/>
      <c r="L57" s="37"/>
      <c r="N57" s="37"/>
      <c r="P57" s="37"/>
      <c r="Q57" s="37"/>
      <c r="R57" s="37"/>
      <c r="S57" s="37"/>
      <c r="U57" s="37"/>
      <c r="AB57" s="37"/>
      <c r="AH57" s="37"/>
    </row>
    <row r="58" spans="1:34">
      <c r="A58" s="95"/>
      <c r="I58" s="37"/>
      <c r="J58" s="37"/>
      <c r="K58" s="37"/>
      <c r="L58" s="37"/>
      <c r="N58" s="37"/>
      <c r="P58" s="37"/>
      <c r="Q58" s="37"/>
      <c r="R58" s="37"/>
      <c r="S58" s="37"/>
      <c r="U58" s="37"/>
      <c r="AB58" s="37"/>
      <c r="AH58" s="37"/>
    </row>
    <row r="59" spans="1:34">
      <c r="A59" s="95"/>
      <c r="I59" s="37"/>
      <c r="J59" s="37"/>
      <c r="K59" s="37"/>
      <c r="L59" s="37"/>
      <c r="N59" s="37"/>
      <c r="P59" s="37"/>
      <c r="Q59" s="37"/>
      <c r="R59" s="37"/>
      <c r="S59" s="37"/>
      <c r="U59" s="37"/>
      <c r="AB59" s="37"/>
      <c r="AH59" s="37"/>
    </row>
    <row r="60" spans="1:34">
      <c r="A60" s="95"/>
      <c r="I60" s="37"/>
      <c r="J60" s="37"/>
      <c r="K60" s="37"/>
      <c r="L60" s="37"/>
      <c r="N60" s="37"/>
      <c r="P60" s="37"/>
      <c r="Q60" s="37"/>
      <c r="R60" s="37"/>
      <c r="S60" s="37"/>
      <c r="U60" s="37"/>
      <c r="AB60" s="37"/>
      <c r="AH60" s="37"/>
    </row>
    <row r="61" spans="1:34">
      <c r="A61" s="95"/>
      <c r="I61" s="37"/>
      <c r="J61" s="37"/>
      <c r="K61" s="37"/>
      <c r="L61" s="37"/>
      <c r="N61" s="37"/>
      <c r="P61" s="37"/>
      <c r="Q61" s="37"/>
      <c r="R61" s="37"/>
      <c r="S61" s="37"/>
      <c r="U61" s="37"/>
      <c r="AB61" s="37"/>
      <c r="AH61" s="37"/>
    </row>
    <row r="62" spans="1:34">
      <c r="A62" s="95"/>
      <c r="I62" s="37"/>
      <c r="J62" s="37"/>
      <c r="K62" s="37"/>
      <c r="L62" s="37"/>
      <c r="N62" s="37"/>
      <c r="P62" s="37"/>
      <c r="Q62" s="37"/>
      <c r="R62" s="37"/>
      <c r="S62" s="37"/>
      <c r="U62" s="37"/>
      <c r="AB62" s="37"/>
      <c r="AH62" s="37"/>
    </row>
    <row r="63" spans="1:34">
      <c r="A63" s="37"/>
      <c r="I63" s="37"/>
      <c r="J63" s="37"/>
      <c r="K63" s="37"/>
      <c r="L63" s="37"/>
      <c r="N63" s="37"/>
      <c r="P63" s="37"/>
      <c r="Q63" s="37"/>
      <c r="R63" s="37"/>
      <c r="S63" s="37"/>
      <c r="U63" s="37"/>
      <c r="AB63" s="37"/>
      <c r="AH63" s="37"/>
    </row>
    <row r="64" spans="1:34">
      <c r="A64" s="37"/>
      <c r="I64" s="37"/>
      <c r="J64" s="37"/>
      <c r="K64" s="37"/>
      <c r="L64" s="37"/>
      <c r="N64" s="37"/>
      <c r="P64" s="37"/>
      <c r="Q64" s="37"/>
      <c r="R64" s="37"/>
      <c r="S64" s="37"/>
      <c r="U64" s="37"/>
      <c r="AB64" s="37"/>
      <c r="AH64" s="37"/>
    </row>
    <row r="65" spans="1:34">
      <c r="A65" s="37"/>
      <c r="I65" s="37"/>
      <c r="J65" s="37"/>
      <c r="K65" s="37"/>
      <c r="L65" s="37"/>
      <c r="N65" s="37"/>
      <c r="P65" s="37"/>
      <c r="Q65" s="37"/>
      <c r="R65" s="37"/>
      <c r="S65" s="37"/>
      <c r="U65" s="37"/>
      <c r="AB65" s="37"/>
      <c r="AH65" s="37"/>
    </row>
    <row r="66" spans="1:34">
      <c r="A66" s="37"/>
      <c r="I66" s="37"/>
      <c r="J66" s="37"/>
      <c r="K66" s="37"/>
      <c r="L66" s="37"/>
      <c r="N66" s="37"/>
      <c r="P66" s="37"/>
      <c r="Q66" s="37"/>
      <c r="R66" s="37"/>
      <c r="S66" s="37"/>
      <c r="U66" s="37"/>
      <c r="AB66" s="37"/>
      <c r="AH66" s="37"/>
    </row>
    <row r="67" spans="1:34" hidden="1">
      <c r="A67" s="37"/>
      <c r="I67" s="37"/>
      <c r="J67" s="37"/>
      <c r="K67" s="37"/>
      <c r="L67" s="37"/>
      <c r="N67" s="37"/>
      <c r="P67" s="37"/>
      <c r="Q67" s="37"/>
      <c r="R67" s="37"/>
      <c r="S67" s="37"/>
      <c r="U67" s="37"/>
      <c r="AB67" s="37"/>
      <c r="AH67" s="37"/>
    </row>
    <row r="68" spans="1:34" s="102" customFormat="1" ht="15" hidden="1" customHeight="1">
      <c r="A68" s="100" t="s">
        <v>193</v>
      </c>
      <c r="B68" s="101"/>
      <c r="C68" s="101"/>
      <c r="D68" s="101"/>
      <c r="E68" s="101"/>
      <c r="F68" s="157"/>
      <c r="G68" s="101"/>
      <c r="H68" s="157"/>
      <c r="I68" s="101">
        <v>6120</v>
      </c>
      <c r="J68" s="101">
        <v>6120</v>
      </c>
      <c r="K68" s="101"/>
      <c r="L68" s="101"/>
      <c r="M68" s="157"/>
      <c r="N68" s="101">
        <v>6120</v>
      </c>
      <c r="O68" s="157"/>
      <c r="P68" s="101">
        <v>6120</v>
      </c>
      <c r="Q68" s="101">
        <v>6120</v>
      </c>
      <c r="R68" s="101"/>
      <c r="S68" s="101"/>
      <c r="T68" s="157"/>
      <c r="U68" s="101">
        <v>6120</v>
      </c>
      <c r="AB68" s="101"/>
      <c r="AH68" s="101"/>
    </row>
    <row r="69" spans="1:34" s="102" customFormat="1" ht="14.75" hidden="1">
      <c r="A69" s="103" t="s">
        <v>194</v>
      </c>
      <c r="B69" s="101"/>
      <c r="C69" s="101"/>
      <c r="D69" s="101"/>
      <c r="E69" s="101"/>
      <c r="F69" s="157"/>
      <c r="G69" s="101"/>
      <c r="H69" s="157"/>
      <c r="I69" s="101">
        <v>35135</v>
      </c>
      <c r="J69" s="101">
        <v>35135</v>
      </c>
      <c r="K69" s="101"/>
      <c r="L69" s="101"/>
      <c r="M69" s="157"/>
      <c r="N69" s="101">
        <v>35135</v>
      </c>
      <c r="O69" s="157"/>
      <c r="P69" s="101">
        <v>35135</v>
      </c>
      <c r="Q69" s="101">
        <v>35135</v>
      </c>
      <c r="R69" s="101"/>
      <c r="S69" s="101"/>
      <c r="T69" s="157"/>
      <c r="U69" s="101">
        <v>35135</v>
      </c>
      <c r="AB69" s="101"/>
      <c r="AH69" s="101"/>
    </row>
    <row r="70" spans="1:34" s="106" customFormat="1" ht="14.75" hidden="1">
      <c r="A70" s="104" t="s">
        <v>195</v>
      </c>
      <c r="B70" s="105"/>
      <c r="C70" s="105"/>
      <c r="D70" s="105"/>
      <c r="E70" s="105"/>
      <c r="F70" s="158"/>
      <c r="G70" s="105"/>
      <c r="H70" s="158"/>
      <c r="I70" s="105">
        <f>+I68/I69</f>
        <v>0.17418528532802049</v>
      </c>
      <c r="J70" s="105">
        <f>+J68/J69</f>
        <v>0.17418528532802049</v>
      </c>
      <c r="K70" s="105"/>
      <c r="L70" s="105"/>
      <c r="M70" s="158"/>
      <c r="N70" s="105">
        <f>+N68/N69</f>
        <v>0.17418528532802049</v>
      </c>
      <c r="O70" s="158"/>
      <c r="P70" s="105">
        <f>+P68/P69</f>
        <v>0.17418528532802049</v>
      </c>
      <c r="Q70" s="105">
        <f>+Q68/Q69</f>
        <v>0.17418528532802049</v>
      </c>
      <c r="R70" s="105"/>
      <c r="S70" s="105"/>
      <c r="T70" s="158"/>
      <c r="U70" s="105">
        <f>+U68/U69</f>
        <v>0.17418528532802049</v>
      </c>
      <c r="AB70" s="105"/>
      <c r="AH70" s="105"/>
    </row>
    <row r="71" spans="1:34" s="102" customFormat="1" ht="14.75" hidden="1">
      <c r="A71" s="103" t="s">
        <v>187</v>
      </c>
      <c r="B71" s="101"/>
      <c r="C71" s="101"/>
      <c r="D71" s="101"/>
      <c r="E71" s="101"/>
      <c r="F71" s="157"/>
      <c r="G71" s="101"/>
      <c r="H71" s="157"/>
      <c r="I71" s="101">
        <v>16116</v>
      </c>
      <c r="J71" s="101">
        <v>16116</v>
      </c>
      <c r="K71" s="101"/>
      <c r="L71" s="101"/>
      <c r="M71" s="157"/>
      <c r="N71" s="101">
        <v>16116</v>
      </c>
      <c r="O71" s="157"/>
      <c r="P71" s="101">
        <v>16116</v>
      </c>
      <c r="Q71" s="101">
        <v>16116</v>
      </c>
      <c r="R71" s="101"/>
      <c r="S71" s="101"/>
      <c r="T71" s="157"/>
      <c r="U71" s="101">
        <v>16116</v>
      </c>
      <c r="AB71" s="101"/>
      <c r="AH71" s="101"/>
    </row>
    <row r="72" spans="1:34" s="102" customFormat="1" ht="14.75" hidden="1">
      <c r="A72" s="103" t="s">
        <v>196</v>
      </c>
      <c r="B72" s="101"/>
      <c r="C72" s="101"/>
      <c r="D72" s="101"/>
      <c r="E72" s="101"/>
      <c r="F72" s="157"/>
      <c r="G72" s="101"/>
      <c r="H72" s="157"/>
      <c r="I72" s="101">
        <v>188933</v>
      </c>
      <c r="J72" s="101">
        <v>188933</v>
      </c>
      <c r="K72" s="101"/>
      <c r="L72" s="101"/>
      <c r="M72" s="157"/>
      <c r="N72" s="101">
        <v>188933</v>
      </c>
      <c r="O72" s="157"/>
      <c r="P72" s="101">
        <v>188933</v>
      </c>
      <c r="Q72" s="101">
        <v>188933</v>
      </c>
      <c r="R72" s="101"/>
      <c r="S72" s="101"/>
      <c r="T72" s="157"/>
      <c r="U72" s="101">
        <v>188933</v>
      </c>
      <c r="AB72" s="101"/>
      <c r="AH72" s="101"/>
    </row>
    <row r="73" spans="1:34" s="106" customFormat="1" ht="14.75" hidden="1">
      <c r="A73" s="107" t="s">
        <v>197</v>
      </c>
      <c r="B73" s="105"/>
      <c r="C73" s="105"/>
      <c r="D73" s="105"/>
      <c r="E73" s="105"/>
      <c r="F73" s="158"/>
      <c r="G73" s="105"/>
      <c r="H73" s="158"/>
      <c r="I73" s="105">
        <f>++I71/I72</f>
        <v>8.5300079922512206E-2</v>
      </c>
      <c r="J73" s="105">
        <f>++J71/J72</f>
        <v>8.5300079922512206E-2</v>
      </c>
      <c r="K73" s="105"/>
      <c r="L73" s="105"/>
      <c r="M73" s="158"/>
      <c r="N73" s="105">
        <f>++N71/N72</f>
        <v>8.5300079922512206E-2</v>
      </c>
      <c r="O73" s="158"/>
      <c r="P73" s="105">
        <f>++P71/P72</f>
        <v>8.5300079922512206E-2</v>
      </c>
      <c r="Q73" s="105">
        <f>++Q71/Q72</f>
        <v>8.5300079922512206E-2</v>
      </c>
      <c r="R73" s="105"/>
      <c r="S73" s="105"/>
      <c r="T73" s="158"/>
      <c r="U73" s="105">
        <f>++U71/U72</f>
        <v>8.5300079922512206E-2</v>
      </c>
      <c r="AB73" s="105"/>
      <c r="AH73" s="105"/>
    </row>
    <row r="74" spans="1:34" hidden="1">
      <c r="A74" s="37"/>
      <c r="I74" s="37"/>
      <c r="J74" s="37"/>
      <c r="K74" s="37"/>
      <c r="L74" s="37"/>
      <c r="N74" s="37"/>
      <c r="P74" s="37"/>
      <c r="Q74" s="37"/>
      <c r="R74" s="37"/>
      <c r="S74" s="37"/>
      <c r="U74" s="37"/>
      <c r="AB74" s="37"/>
      <c r="AH74" s="37"/>
    </row>
    <row r="75" spans="1:34">
      <c r="A75" s="37"/>
      <c r="I75" s="37"/>
      <c r="J75" s="37"/>
      <c r="K75" s="37"/>
      <c r="L75" s="37"/>
      <c r="N75" s="37"/>
      <c r="P75" s="37"/>
      <c r="Q75" s="37"/>
      <c r="R75" s="37"/>
      <c r="S75" s="37"/>
      <c r="U75" s="37"/>
      <c r="AB75" s="37"/>
      <c r="AH75" s="37"/>
    </row>
    <row r="76" spans="1:34">
      <c r="A76" s="37"/>
      <c r="I76" s="37"/>
      <c r="J76" s="37"/>
      <c r="K76" s="37"/>
      <c r="L76" s="37"/>
      <c r="N76" s="37"/>
      <c r="P76" s="37"/>
      <c r="Q76" s="37"/>
      <c r="R76" s="37"/>
      <c r="S76" s="37"/>
      <c r="U76" s="37"/>
      <c r="AB76" s="37"/>
      <c r="AH76" s="37"/>
    </row>
    <row r="77" spans="1:34">
      <c r="A77" s="37"/>
      <c r="I77" s="37"/>
      <c r="J77" s="37"/>
      <c r="K77" s="37"/>
      <c r="L77" s="37"/>
      <c r="N77" s="37"/>
      <c r="P77" s="37"/>
      <c r="Q77" s="37"/>
      <c r="R77" s="37"/>
      <c r="S77" s="37"/>
      <c r="U77" s="37"/>
      <c r="AB77" s="37"/>
      <c r="AH77" s="37"/>
    </row>
    <row r="78" spans="1:34">
      <c r="A78" s="37"/>
      <c r="I78" s="37"/>
      <c r="J78" s="37"/>
      <c r="K78" s="37"/>
      <c r="L78" s="37"/>
      <c r="N78" s="37"/>
      <c r="P78" s="37"/>
      <c r="Q78" s="37"/>
      <c r="R78" s="37"/>
      <c r="S78" s="37"/>
      <c r="U78" s="37"/>
      <c r="AB78" s="37"/>
      <c r="AH78" s="37"/>
    </row>
    <row r="79" spans="1:34">
      <c r="A79" s="37"/>
      <c r="I79" s="37"/>
      <c r="J79" s="37"/>
      <c r="K79" s="37"/>
      <c r="L79" s="37"/>
      <c r="N79" s="37"/>
      <c r="P79" s="37"/>
      <c r="Q79" s="37"/>
      <c r="R79" s="37"/>
      <c r="S79" s="37"/>
      <c r="U79" s="37"/>
      <c r="AB79" s="37"/>
      <c r="AH79" s="37"/>
    </row>
    <row r="80" spans="1:34">
      <c r="A80" s="37"/>
      <c r="I80" s="37"/>
      <c r="J80" s="37"/>
      <c r="K80" s="37"/>
      <c r="L80" s="37"/>
      <c r="N80" s="37"/>
      <c r="P80" s="37"/>
      <c r="Q80" s="37"/>
      <c r="R80" s="37"/>
      <c r="S80" s="37"/>
      <c r="U80" s="37"/>
      <c r="AB80" s="37"/>
      <c r="AH80" s="37"/>
    </row>
    <row r="81" s="37" customFormat="1"/>
    <row r="82" s="37" customFormat="1"/>
    <row r="83" s="37" customFormat="1"/>
    <row r="84" s="37" customFormat="1"/>
    <row r="85" s="37" customFormat="1"/>
    <row r="86" s="37" customFormat="1"/>
    <row r="87" s="37" customFormat="1"/>
    <row r="88" s="37" customFormat="1"/>
    <row r="89" s="37" customFormat="1"/>
    <row r="90" s="37" customFormat="1"/>
    <row r="91" s="37" customFormat="1"/>
    <row r="92" s="37" customFormat="1"/>
    <row r="93" s="37" customFormat="1"/>
    <row r="94" s="37" customFormat="1"/>
    <row r="95" s="37" customFormat="1"/>
    <row r="9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row r="124" s="37" customFormat="1"/>
    <row r="125" s="37" customFormat="1"/>
    <row r="126" s="37" customFormat="1"/>
    <row r="127" s="37" customFormat="1"/>
    <row r="128" s="37" customFormat="1"/>
    <row r="129" s="37" customFormat="1"/>
    <row r="130" s="37" customFormat="1"/>
    <row r="131" s="37" customFormat="1"/>
    <row r="132" s="37" customFormat="1"/>
    <row r="133" s="37" customFormat="1"/>
    <row r="134" s="37" customFormat="1"/>
    <row r="135" s="37" customFormat="1"/>
    <row r="136" s="37" customFormat="1"/>
    <row r="137" s="37" customFormat="1"/>
    <row r="138" s="37" customFormat="1"/>
    <row r="139" s="37" customFormat="1"/>
    <row r="140" s="37" customFormat="1"/>
    <row r="141" s="37" customFormat="1"/>
    <row r="142" s="37" customFormat="1"/>
    <row r="143" s="37" customFormat="1"/>
    <row r="144" s="37" customFormat="1"/>
    <row r="145" s="37" customFormat="1"/>
    <row r="146" s="37" customFormat="1"/>
    <row r="147" s="37" customFormat="1"/>
    <row r="148" s="37" customFormat="1"/>
    <row r="149" s="37" customFormat="1"/>
    <row r="150" s="37" customFormat="1"/>
    <row r="151" s="37" customFormat="1"/>
    <row r="152" s="37" customFormat="1"/>
    <row r="153" s="37" customFormat="1"/>
    <row r="154" s="37" customFormat="1"/>
    <row r="155" s="37" customFormat="1"/>
    <row r="156" s="37" customFormat="1"/>
    <row r="157" s="37" customFormat="1"/>
    <row r="158" s="37" customFormat="1"/>
    <row r="159" s="37" customFormat="1"/>
    <row r="160" s="37" customFormat="1"/>
    <row r="161" s="37" customFormat="1"/>
    <row r="162" s="37" customFormat="1"/>
    <row r="163" s="37" customFormat="1"/>
    <row r="164" s="37" customFormat="1"/>
    <row r="165" s="37" customFormat="1"/>
    <row r="166" s="37" customFormat="1"/>
    <row r="167" s="37" customFormat="1"/>
    <row r="168" s="37" customFormat="1"/>
    <row r="169" s="37" customFormat="1"/>
    <row r="170" s="37" customFormat="1"/>
    <row r="171" s="37" customFormat="1"/>
    <row r="172" s="37" customFormat="1"/>
    <row r="173" s="37" customFormat="1"/>
    <row r="174" s="37" customFormat="1"/>
  </sheetData>
  <mergeCells count="5">
    <mergeCell ref="B3:E3"/>
    <mergeCell ref="I3:L3"/>
    <mergeCell ref="P3:S3"/>
    <mergeCell ref="W3:Z3"/>
    <mergeCell ref="AD3:AF3"/>
  </mergeCells>
  <pageMargins left="0.25" right="0.25" top="0.75" bottom="0.75" header="0.3" footer="0.3"/>
  <pageSetup scale="5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50451-C0EA-43E3-B782-537193C54070}">
  <sheetPr codeName="Sheet13">
    <tabColor rgb="FF0079FF"/>
    <pageSetUpPr fitToPage="1"/>
  </sheetPr>
  <dimension ref="A1:AH183"/>
  <sheetViews>
    <sheetView zoomScale="65" zoomScaleNormal="65" zoomScaleSheetLayoutView="70" workbookViewId="0">
      <pane xSplit="1" ySplit="4" topLeftCell="G5" activePane="bottomRight" state="frozen"/>
      <selection pane="topRight" activeCell="B1" sqref="B1"/>
      <selection pane="bottomLeft" activeCell="A5" sqref="A5"/>
      <selection pane="bottomRight" activeCell="G5" sqref="G5"/>
    </sheetView>
  </sheetViews>
  <sheetFormatPr defaultColWidth="9.1328125" defaultRowHeight="10.5" outlineLevelCol="1"/>
  <cols>
    <col min="1" max="1" width="90.40625" style="60" customWidth="1"/>
    <col min="2" max="5" width="20.40625" style="37" hidden="1" customWidth="1" outlineLevel="1"/>
    <col min="6" max="6" width="1.40625" style="37" hidden="1" customWidth="1" outlineLevel="1"/>
    <col min="7" max="7" width="20.40625" style="37" customWidth="1" collapsed="1"/>
    <col min="8" max="8" width="1.40625" style="37" customWidth="1"/>
    <col min="9" max="12" width="20.40625" style="60" hidden="1" customWidth="1" outlineLevel="1"/>
    <col min="13" max="13" width="1.86328125" style="37" hidden="1" customWidth="1" outlineLevel="1"/>
    <col min="14" max="14" width="20.40625" style="60" customWidth="1" collapsed="1"/>
    <col min="15" max="15" width="1.40625" style="37" customWidth="1"/>
    <col min="16" max="18" width="17.40625" style="37" hidden="1" customWidth="1" outlineLevel="1"/>
    <col min="19" max="19" width="15.40625" style="37" hidden="1" customWidth="1" outlineLevel="1"/>
    <col min="20" max="20" width="1.40625" style="37" hidden="1" customWidth="1" outlineLevel="1"/>
    <col min="21" max="21" width="20.40625" style="60" customWidth="1" collapsed="1"/>
    <col min="22" max="22" width="4.1328125" style="37" customWidth="1"/>
    <col min="23" max="25" width="17.40625" style="37" customWidth="1"/>
    <col min="26" max="26" width="15.40625" style="37" customWidth="1"/>
    <col min="27" max="27" width="3.40625" style="37" customWidth="1"/>
    <col min="28" max="28" width="20.40625" style="60" customWidth="1"/>
    <col min="29" max="29" width="4.1328125" style="37" customWidth="1"/>
    <col min="30" max="32" width="15.40625" style="37" customWidth="1"/>
    <col min="33" max="33" width="2.40625" style="37" customWidth="1"/>
    <col min="34" max="34" width="20.40625" style="60" customWidth="1"/>
    <col min="35" max="16384" width="9.1328125" style="37"/>
  </cols>
  <sheetData>
    <row r="1" spans="1:34" s="94" customFormat="1" ht="18">
      <c r="A1" s="93" t="s">
        <v>198</v>
      </c>
      <c r="F1" s="37"/>
      <c r="H1" s="37"/>
      <c r="M1" s="37"/>
      <c r="O1" s="37"/>
    </row>
    <row r="2" spans="1:34" s="94" customFormat="1" ht="12" customHeight="1">
      <c r="A2" s="108"/>
      <c r="F2" s="37"/>
      <c r="H2" s="37"/>
      <c r="M2" s="37"/>
      <c r="O2" s="37"/>
    </row>
    <row r="3" spans="1:34" s="7" customFormat="1" ht="30" customHeight="1">
      <c r="A3" s="41"/>
      <c r="B3" s="355" t="s">
        <v>21</v>
      </c>
      <c r="C3" s="355"/>
      <c r="D3" s="355"/>
      <c r="E3" s="355"/>
      <c r="F3" s="138"/>
      <c r="G3" s="40" t="s">
        <v>22</v>
      </c>
      <c r="H3" s="138"/>
      <c r="I3" s="355" t="s">
        <v>21</v>
      </c>
      <c r="J3" s="355"/>
      <c r="K3" s="355"/>
      <c r="L3" s="355"/>
      <c r="M3" s="138"/>
      <c r="N3" s="40" t="s">
        <v>22</v>
      </c>
      <c r="O3" s="138"/>
      <c r="P3" s="355" t="s">
        <v>21</v>
      </c>
      <c r="Q3" s="355"/>
      <c r="R3" s="355"/>
      <c r="S3" s="355"/>
      <c r="U3" s="40" t="s">
        <v>22</v>
      </c>
      <c r="W3" s="355" t="s">
        <v>21</v>
      </c>
      <c r="X3" s="355"/>
      <c r="Y3" s="355"/>
      <c r="Z3" s="355"/>
      <c r="AB3" s="40" t="s">
        <v>22</v>
      </c>
      <c r="AD3" s="355" t="s">
        <v>21</v>
      </c>
      <c r="AE3" s="355"/>
      <c r="AF3" s="355"/>
      <c r="AH3" s="40" t="s">
        <v>320</v>
      </c>
    </row>
    <row r="4" spans="1:34" s="7" customFormat="1" ht="30" customHeight="1">
      <c r="A4" s="109" t="s">
        <v>199</v>
      </c>
      <c r="B4" s="42" t="s">
        <v>80</v>
      </c>
      <c r="C4" s="42" t="s">
        <v>81</v>
      </c>
      <c r="D4" s="42" t="s">
        <v>82</v>
      </c>
      <c r="E4" s="42" t="s">
        <v>83</v>
      </c>
      <c r="F4" s="139"/>
      <c r="G4" s="42" t="s">
        <v>83</v>
      </c>
      <c r="H4" s="139"/>
      <c r="I4" s="42" t="s">
        <v>84</v>
      </c>
      <c r="J4" s="42" t="s">
        <v>85</v>
      </c>
      <c r="K4" s="42" t="s">
        <v>86</v>
      </c>
      <c r="L4" s="42" t="s">
        <v>87</v>
      </c>
      <c r="M4" s="139"/>
      <c r="N4" s="42" t="s">
        <v>87</v>
      </c>
      <c r="O4" s="139"/>
      <c r="P4" s="42" t="s">
        <v>88</v>
      </c>
      <c r="Q4" s="42" t="s">
        <v>89</v>
      </c>
      <c r="R4" s="42" t="s">
        <v>90</v>
      </c>
      <c r="S4" s="42" t="s">
        <v>91</v>
      </c>
      <c r="U4" s="42" t="s">
        <v>91</v>
      </c>
      <c r="W4" s="42" t="s">
        <v>23</v>
      </c>
      <c r="X4" s="42" t="s">
        <v>92</v>
      </c>
      <c r="Y4" s="42" t="s">
        <v>93</v>
      </c>
      <c r="Z4" s="42" t="s">
        <v>94</v>
      </c>
      <c r="AB4" s="42" t="s">
        <v>94</v>
      </c>
      <c r="AD4" s="42" t="s">
        <v>95</v>
      </c>
      <c r="AE4" s="42" t="s">
        <v>309</v>
      </c>
      <c r="AF4" s="42" t="s">
        <v>319</v>
      </c>
      <c r="AH4" s="42" t="s">
        <v>319</v>
      </c>
    </row>
    <row r="5" spans="1:34" s="51" customFormat="1" ht="16.75">
      <c r="A5" s="44"/>
    </row>
    <row r="6" spans="1:34" s="51" customFormat="1" ht="33.5">
      <c r="A6" s="110" t="s">
        <v>200</v>
      </c>
      <c r="B6" s="111">
        <v>-0.23</v>
      </c>
      <c r="C6" s="111">
        <v>-0.18</v>
      </c>
      <c r="D6" s="111">
        <v>-0.08</v>
      </c>
      <c r="E6" s="111">
        <v>-0.39</v>
      </c>
      <c r="F6" s="159"/>
      <c r="G6" s="111">
        <v>-0.88</v>
      </c>
      <c r="H6" s="159"/>
      <c r="I6" s="111">
        <v>-0.04</v>
      </c>
      <c r="J6" s="111">
        <v>0</v>
      </c>
      <c r="K6" s="111">
        <v>0.12</v>
      </c>
      <c r="L6" s="111">
        <v>-0.15</v>
      </c>
      <c r="M6" s="159"/>
      <c r="N6" s="111">
        <v>-7.0000000000000007E-2</v>
      </c>
      <c r="O6" s="159"/>
      <c r="P6" s="111">
        <v>-0.08</v>
      </c>
      <c r="Q6" s="111">
        <v>-0.12</v>
      </c>
      <c r="R6" s="111">
        <v>-0.02</v>
      </c>
      <c r="S6" s="111">
        <v>0.12</v>
      </c>
      <c r="U6" s="111">
        <v>-0.09</v>
      </c>
      <c r="W6" s="111">
        <v>-0.03</v>
      </c>
      <c r="X6" s="111">
        <v>-0.17</v>
      </c>
      <c r="Y6" s="111">
        <v>0.12</v>
      </c>
      <c r="Z6" s="111">
        <v>0.37</v>
      </c>
      <c r="AB6" s="111">
        <v>0.28000000000000003</v>
      </c>
      <c r="AD6" s="111">
        <v>0.16</v>
      </c>
      <c r="AE6" s="111">
        <v>0.02</v>
      </c>
      <c r="AF6" s="111">
        <v>0.39</v>
      </c>
      <c r="AH6" s="111">
        <v>0.57999999999999996</v>
      </c>
    </row>
    <row r="7" spans="1:34" s="89" customFormat="1" ht="33.5">
      <c r="A7" s="110" t="s">
        <v>201</v>
      </c>
      <c r="B7" s="111">
        <v>0.4</v>
      </c>
      <c r="C7" s="111">
        <v>0.78</v>
      </c>
      <c r="D7" s="111">
        <v>0.73</v>
      </c>
      <c r="E7" s="111">
        <v>0.65</v>
      </c>
      <c r="F7" s="159"/>
      <c r="G7" s="111">
        <v>2.57</v>
      </c>
      <c r="H7" s="159"/>
      <c r="I7" s="111">
        <v>0.44</v>
      </c>
      <c r="J7" s="111">
        <v>0.57999999999999996</v>
      </c>
      <c r="K7" s="111">
        <v>0.69</v>
      </c>
      <c r="L7" s="111">
        <v>0.56999999999999995</v>
      </c>
      <c r="M7" s="159"/>
      <c r="N7" s="111">
        <v>2.2799999999999998</v>
      </c>
      <c r="O7" s="159"/>
      <c r="P7" s="111">
        <v>0.52</v>
      </c>
      <c r="Q7" s="111">
        <v>0.56000000000000005</v>
      </c>
      <c r="R7" s="111">
        <v>0.69</v>
      </c>
      <c r="S7" s="111">
        <v>0.75</v>
      </c>
      <c r="U7" s="111">
        <v>2.52</v>
      </c>
      <c r="W7" s="111">
        <v>0.53</v>
      </c>
      <c r="X7" s="111">
        <v>0.48</v>
      </c>
      <c r="Y7" s="111">
        <v>0.65</v>
      </c>
      <c r="Z7" s="111">
        <v>1.07</v>
      </c>
      <c r="AB7" s="111">
        <v>2.73</v>
      </c>
      <c r="AD7" s="111">
        <v>0.59</v>
      </c>
      <c r="AE7" s="111">
        <v>0.49</v>
      </c>
      <c r="AF7" s="111">
        <v>0.54</v>
      </c>
      <c r="AH7" s="111">
        <v>1.62</v>
      </c>
    </row>
    <row r="8" spans="1:34" s="89" customFormat="1" ht="16.75">
      <c r="A8" s="110"/>
      <c r="B8" s="111"/>
      <c r="C8" s="111"/>
      <c r="D8" s="111"/>
      <c r="E8" s="111"/>
      <c r="F8" s="159"/>
      <c r="G8" s="111"/>
      <c r="H8" s="159"/>
      <c r="I8" s="111"/>
      <c r="J8" s="111"/>
      <c r="K8" s="111"/>
      <c r="L8" s="111"/>
      <c r="M8" s="159"/>
      <c r="N8" s="111"/>
      <c r="O8" s="159"/>
      <c r="P8" s="111"/>
      <c r="Q8" s="111"/>
      <c r="R8" s="111"/>
      <c r="S8" s="111"/>
      <c r="U8" s="111"/>
      <c r="W8" s="111"/>
      <c r="X8" s="111"/>
      <c r="Y8" s="111"/>
      <c r="Z8" s="111"/>
      <c r="AB8" s="111"/>
      <c r="AD8" s="111"/>
      <c r="AE8" s="111"/>
      <c r="AF8" s="111"/>
      <c r="AH8" s="111"/>
    </row>
    <row r="9" spans="1:34" s="46" customFormat="1" ht="33.5">
      <c r="A9" s="112" t="s">
        <v>202</v>
      </c>
      <c r="B9" s="113">
        <v>64376</v>
      </c>
      <c r="C9" s="113">
        <v>65849</v>
      </c>
      <c r="D9" s="113">
        <v>66234</v>
      </c>
      <c r="E9" s="113">
        <v>65753</v>
      </c>
      <c r="F9" s="160"/>
      <c r="G9" s="113">
        <v>65173</v>
      </c>
      <c r="H9" s="160"/>
      <c r="I9" s="113">
        <v>65661</v>
      </c>
      <c r="J9" s="113">
        <v>65194</v>
      </c>
      <c r="K9" s="113">
        <v>66328</v>
      </c>
      <c r="L9" s="113">
        <v>65916</v>
      </c>
      <c r="M9" s="160"/>
      <c r="N9" s="113">
        <v>65591</v>
      </c>
      <c r="O9" s="160"/>
      <c r="P9" s="113">
        <v>64947</v>
      </c>
      <c r="Q9" s="113">
        <v>64958</v>
      </c>
      <c r="R9" s="113">
        <v>65583</v>
      </c>
      <c r="S9" s="113">
        <v>66131</v>
      </c>
      <c r="U9" s="113">
        <v>65332</v>
      </c>
      <c r="W9" s="113">
        <v>64940</v>
      </c>
      <c r="X9" s="113">
        <v>64294</v>
      </c>
      <c r="Y9" s="113">
        <v>64144</v>
      </c>
      <c r="Z9" s="113">
        <v>63080</v>
      </c>
      <c r="AB9" s="113">
        <v>64318</v>
      </c>
      <c r="AD9" s="113">
        <v>62845</v>
      </c>
      <c r="AE9" s="113">
        <v>62631</v>
      </c>
      <c r="AF9" s="113">
        <v>62803</v>
      </c>
      <c r="AH9" s="113">
        <v>62761</v>
      </c>
    </row>
    <row r="10" spans="1:34" s="51" customFormat="1" ht="50.25">
      <c r="A10" s="114" t="s">
        <v>203</v>
      </c>
      <c r="B10" s="115">
        <v>1233</v>
      </c>
      <c r="C10" s="115">
        <v>3495</v>
      </c>
      <c r="D10" s="115">
        <v>3739</v>
      </c>
      <c r="E10" s="115">
        <v>4846</v>
      </c>
      <c r="F10" s="161"/>
      <c r="G10" s="115">
        <v>3654</v>
      </c>
      <c r="H10" s="161"/>
      <c r="I10" s="115">
        <v>10031</v>
      </c>
      <c r="J10" s="115">
        <v>10684</v>
      </c>
      <c r="K10" s="115">
        <v>9478</v>
      </c>
      <c r="L10" s="115">
        <v>10657</v>
      </c>
      <c r="M10" s="161"/>
      <c r="N10" s="115">
        <v>10419</v>
      </c>
      <c r="O10" s="161"/>
      <c r="P10" s="115">
        <v>1255</v>
      </c>
      <c r="Q10" s="115">
        <v>10356</v>
      </c>
      <c r="R10" s="115">
        <v>10004</v>
      </c>
      <c r="S10" s="115">
        <v>9478</v>
      </c>
      <c r="U10" s="115">
        <v>10235</v>
      </c>
      <c r="W10" s="115">
        <v>447</v>
      </c>
      <c r="X10" s="115">
        <v>269</v>
      </c>
      <c r="Y10" s="115">
        <v>9478</v>
      </c>
      <c r="Z10" s="115">
        <v>9478</v>
      </c>
      <c r="AB10" s="115">
        <v>9478</v>
      </c>
      <c r="AD10" s="115">
        <v>9477</v>
      </c>
      <c r="AE10" s="115">
        <v>9478</v>
      </c>
      <c r="AF10" s="115">
        <v>9477</v>
      </c>
      <c r="AH10" s="115">
        <v>9478</v>
      </c>
    </row>
    <row r="11" spans="1:34" s="46" customFormat="1" ht="33.75" customHeight="1">
      <c r="A11" s="112" t="s">
        <v>204</v>
      </c>
      <c r="B11" s="113">
        <f>SUM(B9:B10)</f>
        <v>65609</v>
      </c>
      <c r="C11" s="113">
        <f>SUM(C9:C10)</f>
        <v>69344</v>
      </c>
      <c r="D11" s="113">
        <f>SUM(D9:D10)</f>
        <v>69973</v>
      </c>
      <c r="E11" s="113">
        <f>SUM(E9:E10)</f>
        <v>70599</v>
      </c>
      <c r="F11" s="160"/>
      <c r="G11" s="113">
        <f>SUM(G9:G10)</f>
        <v>68827</v>
      </c>
      <c r="H11" s="160"/>
      <c r="I11" s="113">
        <f>SUM(I9:I10)</f>
        <v>75692</v>
      </c>
      <c r="J11" s="113">
        <f>SUM(J9:J10)</f>
        <v>75878</v>
      </c>
      <c r="K11" s="113">
        <f>SUM(K9:K10)</f>
        <v>75806</v>
      </c>
      <c r="L11" s="113">
        <f>SUM(L9:L10)</f>
        <v>76573</v>
      </c>
      <c r="M11" s="160"/>
      <c r="N11" s="113">
        <f>SUM(N9:N10)</f>
        <v>76010</v>
      </c>
      <c r="O11" s="160"/>
      <c r="P11" s="113">
        <f>SUM(P9:P10)</f>
        <v>66202</v>
      </c>
      <c r="Q11" s="113">
        <f>SUM(Q9:Q10)</f>
        <v>75314</v>
      </c>
      <c r="R11" s="113">
        <f>SUM(R9:R10)</f>
        <v>75587</v>
      </c>
      <c r="S11" s="113">
        <f>SUM(S9:S10)</f>
        <v>75609</v>
      </c>
      <c r="U11" s="113">
        <f>SUM(U9:U10)</f>
        <v>75567</v>
      </c>
      <c r="W11" s="113">
        <f>SUM(W9:W10)</f>
        <v>65387</v>
      </c>
      <c r="X11" s="113">
        <f>SUM(X9:X10)</f>
        <v>64563</v>
      </c>
      <c r="Y11" s="113">
        <f>SUM(Y9:Y10)</f>
        <v>73622</v>
      </c>
      <c r="Z11" s="113">
        <f>SUM(Z9:Z10)</f>
        <v>72558</v>
      </c>
      <c r="AB11" s="113">
        <f>SUM(AB9:AB10)</f>
        <v>73796</v>
      </c>
      <c r="AD11" s="113">
        <f>SUM(AD9:AD10)</f>
        <v>72322</v>
      </c>
      <c r="AE11" s="113">
        <f>SUM(AE9:AE10)</f>
        <v>72109</v>
      </c>
      <c r="AF11" s="113">
        <f>SUM(AF9:AF10)</f>
        <v>72280</v>
      </c>
      <c r="AH11" s="113">
        <f>SUM(AH9:AH10)</f>
        <v>72239</v>
      </c>
    </row>
    <row r="12" spans="1:34" s="89" customFormat="1" ht="16.75">
      <c r="A12" s="110"/>
      <c r="B12" s="111"/>
      <c r="C12" s="111"/>
      <c r="D12" s="111"/>
      <c r="E12" s="111"/>
      <c r="F12" s="159"/>
      <c r="G12" s="111"/>
      <c r="H12" s="159"/>
      <c r="I12" s="111"/>
      <c r="J12" s="111"/>
      <c r="K12" s="111"/>
      <c r="L12" s="111"/>
      <c r="M12" s="159"/>
      <c r="N12" s="111"/>
      <c r="O12" s="159"/>
      <c r="U12" s="111"/>
      <c r="AB12" s="111"/>
      <c r="AH12" s="111"/>
    </row>
    <row r="13" spans="1:34" s="51" customFormat="1" ht="4.5" customHeight="1">
      <c r="A13" s="58"/>
    </row>
    <row r="14" spans="1:34">
      <c r="A14" s="38"/>
      <c r="I14" s="37"/>
      <c r="J14" s="37"/>
      <c r="K14" s="37"/>
      <c r="L14" s="37"/>
      <c r="N14" s="37"/>
      <c r="U14" s="37"/>
      <c r="AB14" s="37"/>
      <c r="AH14" s="37"/>
    </row>
    <row r="15" spans="1:34">
      <c r="A15" s="95"/>
      <c r="I15" s="37"/>
      <c r="J15" s="37"/>
      <c r="K15" s="37"/>
      <c r="L15" s="37"/>
      <c r="N15" s="37"/>
      <c r="U15" s="37"/>
      <c r="AB15" s="37"/>
      <c r="AH15" s="37"/>
    </row>
    <row r="16" spans="1:34">
      <c r="A16" s="37"/>
      <c r="I16" s="37"/>
      <c r="J16" s="37"/>
      <c r="K16" s="37"/>
      <c r="L16" s="37"/>
      <c r="N16" s="37"/>
      <c r="U16" s="37"/>
      <c r="AB16" s="37"/>
      <c r="AH16" s="37"/>
    </row>
    <row r="17" s="37" customFormat="1"/>
    <row r="18" s="37" customFormat="1"/>
    <row r="19" s="37" customFormat="1"/>
    <row r="20" s="37" customFormat="1"/>
    <row r="21" s="37" customFormat="1"/>
    <row r="22" s="37" customFormat="1"/>
    <row r="23" s="37" customFormat="1"/>
    <row r="24" s="37" customFormat="1"/>
    <row r="25" s="37" customFormat="1"/>
    <row r="26" s="37" customFormat="1"/>
    <row r="27" s="37" customFormat="1"/>
    <row r="28" s="37" customFormat="1"/>
    <row r="29" s="37" customFormat="1"/>
    <row r="30" s="37" customFormat="1"/>
    <row r="31" s="37" customFormat="1"/>
    <row r="32" s="37" customFormat="1"/>
    <row r="33" s="37" customFormat="1"/>
    <row r="34" s="37" customFormat="1"/>
    <row r="35" s="37" customFormat="1"/>
    <row r="36" s="37" customFormat="1"/>
    <row r="37" s="37" customFormat="1"/>
    <row r="38" s="37" customFormat="1"/>
    <row r="39" s="37" customFormat="1"/>
    <row r="40" s="37" customFormat="1"/>
    <row r="41" s="37" customFormat="1"/>
    <row r="42" s="37" customFormat="1"/>
    <row r="43" s="37" customFormat="1"/>
    <row r="44" s="37" customFormat="1"/>
    <row r="45" s="37" customFormat="1"/>
    <row r="46" s="37" customFormat="1"/>
    <row r="47" s="37" customFormat="1"/>
    <row r="48" s="37" customFormat="1"/>
    <row r="49" s="37" customFormat="1"/>
    <row r="50" s="37" customFormat="1"/>
    <row r="51" s="37" customFormat="1"/>
    <row r="52" s="37" customFormat="1"/>
    <row r="53" s="37" customFormat="1"/>
    <row r="54" s="37" customFormat="1"/>
    <row r="55" s="37" customFormat="1"/>
    <row r="56" s="37" customFormat="1"/>
    <row r="57" s="37" customFormat="1"/>
    <row r="58" s="37" customFormat="1"/>
    <row r="59" s="37" customFormat="1"/>
    <row r="60" s="37" customFormat="1"/>
    <row r="61" s="37" customFormat="1"/>
    <row r="62" s="37" customFormat="1"/>
    <row r="63" s="37" customFormat="1"/>
    <row r="64" s="37" customFormat="1"/>
    <row r="65" s="37" customFormat="1"/>
    <row r="66" s="37" customFormat="1"/>
    <row r="67" s="37" customFormat="1"/>
    <row r="68" s="37" customFormat="1"/>
    <row r="69" s="37" customFormat="1"/>
    <row r="70" s="37" customFormat="1"/>
    <row r="71" s="37" customFormat="1"/>
    <row r="72" s="37" customFormat="1"/>
    <row r="73" s="37" customFormat="1"/>
    <row r="74" s="37" customFormat="1"/>
    <row r="75" s="37" customFormat="1"/>
    <row r="76" s="37" customFormat="1"/>
    <row r="77" s="37" customFormat="1"/>
    <row r="78" s="37" customFormat="1"/>
    <row r="79" s="37" customFormat="1"/>
    <row r="80" s="37" customFormat="1"/>
    <row r="81" s="37" customFormat="1"/>
    <row r="82" s="37" customFormat="1"/>
    <row r="83" s="37" customFormat="1"/>
    <row r="84" s="37" customFormat="1"/>
    <row r="85" s="37" customFormat="1"/>
    <row r="86" s="37" customFormat="1"/>
    <row r="87" s="37" customFormat="1"/>
    <row r="88" s="37" customFormat="1"/>
    <row r="89" s="37" customFormat="1"/>
    <row r="90" s="37" customFormat="1"/>
    <row r="91" s="37" customFormat="1"/>
    <row r="92" s="37" customFormat="1"/>
    <row r="93" s="37" customFormat="1"/>
    <row r="94" s="37" customFormat="1"/>
    <row r="95" s="37" customFormat="1"/>
    <row r="9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row r="124" s="37" customFormat="1"/>
    <row r="125" s="37" customFormat="1"/>
    <row r="126" s="37" customFormat="1"/>
    <row r="127" s="37" customFormat="1"/>
    <row r="128" s="37" customFormat="1"/>
    <row r="130" spans="28:34" s="37" customFormat="1">
      <c r="AB130" s="60"/>
      <c r="AH130" s="60"/>
    </row>
    <row r="131" spans="28:34" s="37" customFormat="1">
      <c r="AB131" s="60"/>
      <c r="AH131" s="60"/>
    </row>
    <row r="132" spans="28:34" s="37" customFormat="1">
      <c r="AB132" s="60"/>
      <c r="AH132" s="60"/>
    </row>
    <row r="133" spans="28:34" s="37" customFormat="1">
      <c r="AB133" s="60"/>
      <c r="AH133" s="60"/>
    </row>
    <row r="134" spans="28:34" s="37" customFormat="1">
      <c r="AB134" s="60"/>
      <c r="AH134" s="60"/>
    </row>
    <row r="135" spans="28:34" s="37" customFormat="1">
      <c r="AB135" s="60"/>
      <c r="AH135" s="60"/>
    </row>
    <row r="136" spans="28:34" s="37" customFormat="1">
      <c r="AB136" s="60"/>
      <c r="AH136" s="60"/>
    </row>
    <row r="137" spans="28:34" s="37" customFormat="1">
      <c r="AB137" s="60"/>
      <c r="AH137" s="60"/>
    </row>
    <row r="138" spans="28:34" s="37" customFormat="1">
      <c r="AB138" s="60"/>
      <c r="AH138" s="60"/>
    </row>
    <row r="139" spans="28:34" s="37" customFormat="1">
      <c r="AB139" s="60"/>
      <c r="AH139" s="60"/>
    </row>
    <row r="140" spans="28:34" s="37" customFormat="1">
      <c r="AB140" s="60"/>
      <c r="AH140" s="60"/>
    </row>
    <row r="141" spans="28:34" s="37" customFormat="1">
      <c r="AB141" s="60"/>
      <c r="AH141" s="60"/>
    </row>
    <row r="142" spans="28:34" s="37" customFormat="1">
      <c r="AB142" s="60"/>
      <c r="AH142" s="60"/>
    </row>
    <row r="143" spans="28:34" s="37" customFormat="1">
      <c r="AB143" s="60"/>
      <c r="AH143" s="60"/>
    </row>
    <row r="144" spans="28:34" s="37" customFormat="1">
      <c r="AB144" s="60"/>
      <c r="AH144" s="60"/>
    </row>
    <row r="145" spans="28:34" s="37" customFormat="1">
      <c r="AB145" s="60"/>
      <c r="AH145" s="60"/>
    </row>
    <row r="146" spans="28:34" s="37" customFormat="1">
      <c r="AB146" s="60"/>
      <c r="AH146" s="60"/>
    </row>
    <row r="147" spans="28:34" s="37" customFormat="1">
      <c r="AB147" s="60"/>
      <c r="AH147" s="60"/>
    </row>
    <row r="148" spans="28:34" s="37" customFormat="1">
      <c r="AB148" s="60"/>
      <c r="AH148" s="60"/>
    </row>
    <row r="149" spans="28:34" s="37" customFormat="1">
      <c r="AB149" s="60"/>
      <c r="AH149" s="60"/>
    </row>
    <row r="150" spans="28:34" s="37" customFormat="1">
      <c r="AB150" s="60"/>
      <c r="AH150" s="60"/>
    </row>
    <row r="151" spans="28:34" s="37" customFormat="1">
      <c r="AB151" s="60"/>
      <c r="AH151" s="60"/>
    </row>
    <row r="152" spans="28:34" s="37" customFormat="1">
      <c r="AB152" s="60"/>
      <c r="AH152" s="60"/>
    </row>
    <row r="153" spans="28:34" s="37" customFormat="1">
      <c r="AB153" s="60"/>
      <c r="AH153" s="60"/>
    </row>
    <row r="154" spans="28:34" s="37" customFormat="1">
      <c r="AB154" s="60"/>
      <c r="AH154" s="60"/>
    </row>
    <row r="155" spans="28:34" s="37" customFormat="1">
      <c r="AB155" s="60"/>
      <c r="AH155" s="60"/>
    </row>
    <row r="156" spans="28:34" s="37" customFormat="1">
      <c r="AB156" s="60"/>
      <c r="AH156" s="60"/>
    </row>
    <row r="157" spans="28:34" s="37" customFormat="1">
      <c r="AB157" s="60"/>
      <c r="AH157" s="60"/>
    </row>
    <row r="158" spans="28:34" s="37" customFormat="1">
      <c r="AB158" s="60"/>
      <c r="AH158" s="60"/>
    </row>
    <row r="159" spans="28:34" s="37" customFormat="1">
      <c r="AB159" s="60"/>
      <c r="AH159" s="60"/>
    </row>
    <row r="160" spans="28:34" s="37" customFormat="1">
      <c r="AB160" s="60"/>
      <c r="AH160" s="60"/>
    </row>
    <row r="161" spans="28:34" s="37" customFormat="1">
      <c r="AB161" s="60"/>
      <c r="AH161" s="60"/>
    </row>
    <row r="162" spans="28:34" s="37" customFormat="1">
      <c r="AB162" s="60"/>
      <c r="AH162" s="60"/>
    </row>
    <row r="163" spans="28:34" s="37" customFormat="1">
      <c r="AB163" s="60"/>
      <c r="AH163" s="60"/>
    </row>
    <row r="164" spans="28:34" s="37" customFormat="1">
      <c r="AB164" s="60"/>
      <c r="AH164" s="60"/>
    </row>
    <row r="165" spans="28:34" s="37" customFormat="1">
      <c r="AB165" s="60"/>
      <c r="AH165" s="60"/>
    </row>
    <row r="166" spans="28:34" s="37" customFormat="1">
      <c r="AB166" s="60"/>
      <c r="AH166" s="60"/>
    </row>
    <row r="167" spans="28:34" s="37" customFormat="1">
      <c r="AB167" s="60"/>
      <c r="AH167" s="60"/>
    </row>
    <row r="168" spans="28:34" s="37" customFormat="1">
      <c r="AB168" s="60"/>
      <c r="AH168" s="60"/>
    </row>
    <row r="169" spans="28:34" s="37" customFormat="1">
      <c r="AB169" s="60"/>
      <c r="AH169" s="60"/>
    </row>
    <row r="170" spans="28:34" s="37" customFormat="1">
      <c r="AB170" s="60"/>
      <c r="AH170" s="60"/>
    </row>
    <row r="171" spans="28:34" s="37" customFormat="1">
      <c r="AB171" s="60"/>
      <c r="AH171" s="60"/>
    </row>
    <row r="172" spans="28:34" s="37" customFormat="1">
      <c r="AB172" s="60"/>
      <c r="AH172" s="60"/>
    </row>
    <row r="173" spans="28:34" s="37" customFormat="1">
      <c r="AB173" s="60"/>
      <c r="AH173" s="60"/>
    </row>
    <row r="174" spans="28:34" s="37" customFormat="1">
      <c r="AB174" s="60"/>
      <c r="AH174" s="60"/>
    </row>
    <row r="175" spans="28:34" s="37" customFormat="1">
      <c r="AB175" s="60"/>
      <c r="AH175" s="60"/>
    </row>
    <row r="176" spans="28:34" s="37" customFormat="1">
      <c r="AB176" s="60"/>
      <c r="AH176" s="60"/>
    </row>
    <row r="177" spans="28:34" s="37" customFormat="1">
      <c r="AB177" s="60"/>
      <c r="AH177" s="60"/>
    </row>
    <row r="178" spans="28:34" s="37" customFormat="1">
      <c r="AB178" s="60"/>
      <c r="AH178" s="60"/>
    </row>
    <row r="179" spans="28:34" s="37" customFormat="1">
      <c r="AB179" s="60"/>
      <c r="AH179" s="60"/>
    </row>
    <row r="180" spans="28:34" s="37" customFormat="1">
      <c r="AB180" s="60"/>
      <c r="AH180" s="60"/>
    </row>
    <row r="181" spans="28:34" s="37" customFormat="1">
      <c r="AB181" s="60"/>
      <c r="AH181" s="60"/>
    </row>
    <row r="182" spans="28:34" s="37" customFormat="1">
      <c r="AB182" s="60"/>
      <c r="AH182" s="60"/>
    </row>
    <row r="183" spans="28:34" s="37" customFormat="1">
      <c r="AB183" s="60"/>
      <c r="AH183" s="60"/>
    </row>
  </sheetData>
  <mergeCells count="5">
    <mergeCell ref="I3:L3"/>
    <mergeCell ref="B3:E3"/>
    <mergeCell ref="P3:S3"/>
    <mergeCell ref="W3:Z3"/>
    <mergeCell ref="AD3:AF3"/>
  </mergeCells>
  <pageMargins left="0.25" right="0.25" top="0.75" bottom="0.75" header="0.3" footer="0.3"/>
  <pageSetup scale="5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20353-BDC3-4F18-8DAA-1428C81DC1CD}">
  <sheetPr codeName="Sheet14">
    <tabColor rgb="FF0079FF"/>
    <pageSetUpPr fitToPage="1"/>
  </sheetPr>
  <dimension ref="A1:Q22"/>
  <sheetViews>
    <sheetView zoomScale="65" zoomScaleNormal="65" zoomScaleSheetLayoutView="100" workbookViewId="0">
      <pane xSplit="1" ySplit="4" topLeftCell="O5" activePane="bottomRight" state="frozen"/>
      <selection pane="topRight" activeCell="B1" sqref="B1"/>
      <selection pane="bottomLeft" activeCell="A5" sqref="A5"/>
      <selection pane="bottomRight" activeCell="O5" sqref="O5"/>
    </sheetView>
  </sheetViews>
  <sheetFormatPr defaultColWidth="9.1328125" defaultRowHeight="13" outlineLevelCol="1"/>
  <cols>
    <col min="1" max="1" width="128.40625" style="116" bestFit="1" customWidth="1"/>
    <col min="2" max="9" width="20.40625" style="116" hidden="1" customWidth="1" outlineLevel="1"/>
    <col min="10" max="14" width="15.40625" style="116" hidden="1" customWidth="1" outlineLevel="1"/>
    <col min="15" max="15" width="15.40625" style="116" customWidth="1" collapsed="1"/>
    <col min="16" max="17" width="13.86328125" style="116" customWidth="1"/>
    <col min="18" max="16384" width="9.1328125" style="116"/>
  </cols>
  <sheetData>
    <row r="1" spans="1:17" ht="18">
      <c r="A1" s="93" t="s">
        <v>205</v>
      </c>
    </row>
    <row r="2" spans="1:17" s="37" customFormat="1" ht="10.5">
      <c r="A2" s="38"/>
    </row>
    <row r="3" spans="1:17" s="7" customFormat="1" ht="30" customHeight="1">
      <c r="A3" s="39"/>
      <c r="B3" s="40" t="s">
        <v>206</v>
      </c>
      <c r="C3" s="40" t="s">
        <v>206</v>
      </c>
      <c r="D3" s="40" t="s">
        <v>206</v>
      </c>
      <c r="E3" s="40" t="s">
        <v>206</v>
      </c>
      <c r="F3" s="40" t="s">
        <v>206</v>
      </c>
      <c r="G3" s="40" t="s">
        <v>206</v>
      </c>
      <c r="H3" s="40" t="s">
        <v>206</v>
      </c>
      <c r="I3" s="40" t="s">
        <v>206</v>
      </c>
      <c r="J3" s="40" t="s">
        <v>206</v>
      </c>
      <c r="K3" s="40" t="s">
        <v>206</v>
      </c>
      <c r="L3" s="40" t="s">
        <v>206</v>
      </c>
      <c r="M3" s="40" t="s">
        <v>206</v>
      </c>
      <c r="N3" s="40" t="s">
        <v>206</v>
      </c>
      <c r="O3" s="40" t="s">
        <v>206</v>
      </c>
      <c r="P3" s="40" t="s">
        <v>206</v>
      </c>
      <c r="Q3" s="40" t="s">
        <v>206</v>
      </c>
    </row>
    <row r="4" spans="1:17" s="7" customFormat="1" ht="30" customHeight="1">
      <c r="A4" s="41" t="s">
        <v>24</v>
      </c>
      <c r="B4" s="42" t="s">
        <v>83</v>
      </c>
      <c r="C4" s="42" t="s">
        <v>84</v>
      </c>
      <c r="D4" s="42" t="s">
        <v>85</v>
      </c>
      <c r="E4" s="42" t="s">
        <v>86</v>
      </c>
      <c r="F4" s="42" t="s">
        <v>87</v>
      </c>
      <c r="G4" s="42" t="s">
        <v>88</v>
      </c>
      <c r="H4" s="42" t="s">
        <v>89</v>
      </c>
      <c r="I4" s="42" t="s">
        <v>90</v>
      </c>
      <c r="J4" s="42" t="s">
        <v>91</v>
      </c>
      <c r="K4" s="42" t="s">
        <v>23</v>
      </c>
      <c r="L4" s="42" t="s">
        <v>92</v>
      </c>
      <c r="M4" s="42" t="s">
        <v>93</v>
      </c>
      <c r="N4" s="42" t="s">
        <v>94</v>
      </c>
      <c r="O4" s="42" t="s">
        <v>95</v>
      </c>
      <c r="P4" s="42" t="s">
        <v>309</v>
      </c>
      <c r="Q4" s="42" t="s">
        <v>319</v>
      </c>
    </row>
    <row r="5" spans="1:17" s="51" customFormat="1" ht="16.75">
      <c r="A5" s="44"/>
      <c r="B5" s="55"/>
      <c r="C5" s="55"/>
      <c r="D5" s="55"/>
      <c r="E5" s="55"/>
      <c r="F5" s="55"/>
      <c r="G5" s="55"/>
      <c r="H5" s="55"/>
      <c r="I5" s="55"/>
      <c r="J5" s="55"/>
    </row>
    <row r="6" spans="1:17" s="51" customFormat="1" ht="16.75">
      <c r="A6" s="117" t="s">
        <v>207</v>
      </c>
      <c r="B6" s="71">
        <v>386.71300000000002</v>
      </c>
      <c r="C6" s="71">
        <v>386.887</v>
      </c>
      <c r="D6" s="71">
        <v>0</v>
      </c>
      <c r="E6" s="71">
        <v>0</v>
      </c>
      <c r="F6" s="71">
        <v>0</v>
      </c>
      <c r="G6" s="71">
        <v>0</v>
      </c>
      <c r="H6" s="71">
        <v>0</v>
      </c>
      <c r="I6" s="71">
        <v>0</v>
      </c>
      <c r="J6" s="71">
        <v>0</v>
      </c>
      <c r="K6" s="71">
        <v>0</v>
      </c>
      <c r="L6" s="71">
        <v>0</v>
      </c>
      <c r="M6" s="71">
        <v>0</v>
      </c>
      <c r="N6" s="71">
        <v>0</v>
      </c>
      <c r="O6" s="71">
        <v>0</v>
      </c>
      <c r="P6" s="71">
        <v>0</v>
      </c>
      <c r="Q6" s="71">
        <v>0</v>
      </c>
    </row>
    <row r="7" spans="1:17" s="51" customFormat="1" ht="16.75">
      <c r="A7" s="117" t="s">
        <v>208</v>
      </c>
      <c r="B7" s="118">
        <v>402.78100000000001</v>
      </c>
      <c r="C7" s="118">
        <v>405.61399999999998</v>
      </c>
      <c r="D7" s="118">
        <v>405.87299999999999</v>
      </c>
      <c r="E7" s="118">
        <v>406.411</v>
      </c>
      <c r="F7" s="118">
        <v>406.95400000000001</v>
      </c>
      <c r="G7" s="118">
        <v>407.40199999999999</v>
      </c>
      <c r="H7" s="118">
        <v>407.81599999999997</v>
      </c>
      <c r="I7" s="118">
        <v>408.36099999999999</v>
      </c>
      <c r="J7" s="118">
        <v>408.90800000000002</v>
      </c>
      <c r="K7" s="118">
        <v>409.67200000000003</v>
      </c>
      <c r="L7" s="118">
        <v>409.95800000000003</v>
      </c>
      <c r="M7" s="118">
        <v>410.46100000000001</v>
      </c>
      <c r="N7" s="118">
        <v>410.96499999999997</v>
      </c>
      <c r="O7" s="118">
        <v>411.36500000000001</v>
      </c>
      <c r="P7" s="118">
        <v>411.733</v>
      </c>
      <c r="Q7" s="118">
        <v>412.24200000000002</v>
      </c>
    </row>
    <row r="8" spans="1:17" s="51" customFormat="1" ht="16.75">
      <c r="A8" s="58" t="s">
        <v>209</v>
      </c>
      <c r="B8" s="119">
        <v>7.5179999999999998</v>
      </c>
      <c r="C8" s="119">
        <v>9.3859999999999992</v>
      </c>
      <c r="D8" s="119">
        <v>9.1270000000000007</v>
      </c>
      <c r="E8" s="119">
        <v>8.5890000000000004</v>
      </c>
      <c r="F8" s="119">
        <v>8.0459999999999994</v>
      </c>
      <c r="G8" s="119">
        <v>7.5979999999999999</v>
      </c>
      <c r="H8" s="119">
        <v>7.1840000000000002</v>
      </c>
      <c r="I8" s="119">
        <v>6.6390000000000002</v>
      </c>
      <c r="J8" s="119">
        <v>6.0919999999999996</v>
      </c>
      <c r="K8" s="119">
        <v>5.3280000000000003</v>
      </c>
      <c r="L8" s="119">
        <v>5.0419999999999998</v>
      </c>
      <c r="M8" s="119">
        <v>4.5389999999999997</v>
      </c>
      <c r="N8" s="119">
        <v>4.0350000000000001</v>
      </c>
      <c r="O8" s="119">
        <v>3.6349999999999998</v>
      </c>
      <c r="P8" s="119">
        <v>3.2669999999999999</v>
      </c>
      <c r="Q8" s="119">
        <v>2.758</v>
      </c>
    </row>
    <row r="9" spans="1:17" s="46" customFormat="1" ht="16.75">
      <c r="A9" s="59" t="s">
        <v>210</v>
      </c>
      <c r="B9" s="120">
        <f t="shared" ref="B9" si="0">SUM(B6:B8)</f>
        <v>797.01200000000006</v>
      </c>
      <c r="C9" s="120">
        <f t="shared" ref="C9:D9" si="1">SUM(C6:C8)</f>
        <v>801.88699999999994</v>
      </c>
      <c r="D9" s="120">
        <f t="shared" si="1"/>
        <v>415</v>
      </c>
      <c r="E9" s="120">
        <f t="shared" ref="E9:F9" si="2">SUM(E6:E8)</f>
        <v>415</v>
      </c>
      <c r="F9" s="120">
        <f t="shared" si="2"/>
        <v>415</v>
      </c>
      <c r="G9" s="120">
        <f t="shared" ref="G9:H9" si="3">SUM(G6:G8)</f>
        <v>415</v>
      </c>
      <c r="H9" s="120">
        <f t="shared" si="3"/>
        <v>415</v>
      </c>
      <c r="I9" s="120">
        <f t="shared" ref="I9:K9" si="4">SUM(I6:I8)</f>
        <v>415</v>
      </c>
      <c r="J9" s="120">
        <f t="shared" si="4"/>
        <v>415</v>
      </c>
      <c r="K9" s="120">
        <f t="shared" si="4"/>
        <v>415</v>
      </c>
      <c r="L9" s="120">
        <f t="shared" ref="L9:M9" si="5">SUM(L6:L8)</f>
        <v>415</v>
      </c>
      <c r="M9" s="120">
        <f t="shared" si="5"/>
        <v>415</v>
      </c>
      <c r="N9" s="120">
        <f t="shared" ref="N9:P9" si="6">SUM(N6:N8)</f>
        <v>415</v>
      </c>
      <c r="O9" s="120">
        <f t="shared" si="6"/>
        <v>415</v>
      </c>
      <c r="P9" s="120">
        <f t="shared" si="6"/>
        <v>415</v>
      </c>
      <c r="Q9" s="120">
        <f>SUM(Q6:Q8)</f>
        <v>415</v>
      </c>
    </row>
    <row r="10" spans="1:17" s="51" customFormat="1" ht="16.75">
      <c r="A10" s="117" t="s">
        <v>211</v>
      </c>
      <c r="B10" s="78"/>
      <c r="C10" s="78"/>
      <c r="D10" s="78"/>
      <c r="E10" s="78"/>
      <c r="F10" s="78"/>
      <c r="G10" s="78"/>
      <c r="H10" s="78"/>
      <c r="I10" s="78"/>
      <c r="J10" s="78"/>
      <c r="K10" s="78"/>
      <c r="L10" s="78"/>
      <c r="M10" s="78"/>
      <c r="N10" s="78"/>
      <c r="O10" s="78"/>
      <c r="P10" s="78"/>
      <c r="Q10" s="78"/>
    </row>
    <row r="11" spans="1:17" s="51" customFormat="1" ht="16.75">
      <c r="A11" s="117" t="s">
        <v>212</v>
      </c>
      <c r="B11" s="118">
        <v>585.27300000000002</v>
      </c>
      <c r="C11" s="118">
        <v>359.41800000000001</v>
      </c>
      <c r="D11" s="118">
        <v>320.43900000000002</v>
      </c>
      <c r="E11" s="118">
        <v>307.84699999999998</v>
      </c>
      <c r="F11" s="118">
        <v>358.80500000000001</v>
      </c>
      <c r="G11" s="118">
        <v>285.04599999999999</v>
      </c>
      <c r="H11" s="118">
        <v>256.50200000000001</v>
      </c>
      <c r="I11" s="118">
        <v>252.07300000000001</v>
      </c>
      <c r="J11" s="118">
        <v>282.09899999999999</v>
      </c>
      <c r="K11" s="118">
        <v>260.71899999999999</v>
      </c>
      <c r="L11" s="118">
        <v>231.29599999999999</v>
      </c>
      <c r="M11" s="118">
        <v>209.64699999999999</v>
      </c>
      <c r="N11" s="118">
        <v>241.4</v>
      </c>
      <c r="O11" s="118">
        <v>236.59200000000001</v>
      </c>
      <c r="P11" s="118">
        <v>207.845</v>
      </c>
      <c r="Q11" s="118">
        <v>182.82300000000001</v>
      </c>
    </row>
    <row r="12" spans="1:17" s="51" customFormat="1" ht="16.75">
      <c r="A12" s="117" t="s">
        <v>213</v>
      </c>
      <c r="B12" s="118">
        <v>1.4999999999999999E-2</v>
      </c>
      <c r="C12" s="118">
        <v>389.79500000000002</v>
      </c>
      <c r="D12" s="118">
        <v>1.4E-2</v>
      </c>
      <c r="E12" s="118">
        <v>6.0000000000000001E-3</v>
      </c>
      <c r="F12" s="118">
        <v>6.0000000000000001E-3</v>
      </c>
      <c r="G12" s="118">
        <v>2.3E-2</v>
      </c>
      <c r="H12" s="118">
        <v>2.3E-2</v>
      </c>
      <c r="I12" s="118">
        <v>0.28999999999999998</v>
      </c>
      <c r="J12" s="118">
        <v>0.3</v>
      </c>
      <c r="K12" s="118">
        <v>0.28299999999999997</v>
      </c>
      <c r="L12" s="118">
        <v>0</v>
      </c>
      <c r="M12" s="118">
        <v>1.7629999999999999</v>
      </c>
      <c r="N12" s="118">
        <v>1.2689999999999999</v>
      </c>
      <c r="O12" s="118">
        <v>1.0740000000000001</v>
      </c>
      <c r="P12" s="118">
        <v>0.81899999999999995</v>
      </c>
      <c r="Q12" s="118">
        <v>0.48599999999999999</v>
      </c>
    </row>
    <row r="13" spans="1:17" s="51" customFormat="1" ht="16.75">
      <c r="A13" s="58" t="s">
        <v>214</v>
      </c>
      <c r="B13" s="118">
        <v>46.3</v>
      </c>
      <c r="C13" s="118">
        <v>0.66800000000000004</v>
      </c>
      <c r="D13" s="118">
        <v>0.66600000000000004</v>
      </c>
      <c r="E13" s="118">
        <v>0.66100000000000003</v>
      </c>
      <c r="F13" s="118">
        <v>0.76500000000000001</v>
      </c>
      <c r="G13" s="118">
        <v>0.745</v>
      </c>
      <c r="H13" s="118">
        <v>0.71799999999999997</v>
      </c>
      <c r="I13" s="118">
        <v>10.651</v>
      </c>
      <c r="J13" s="118">
        <v>0.69699999999999995</v>
      </c>
      <c r="K13" s="118">
        <v>3.6459999999999999</v>
      </c>
      <c r="L13" s="118">
        <v>1.452</v>
      </c>
      <c r="M13" s="118">
        <v>0.68400000000000005</v>
      </c>
      <c r="N13" s="118">
        <v>0.68600000000000005</v>
      </c>
      <c r="O13" s="118">
        <v>0.78500000000000003</v>
      </c>
      <c r="P13" s="118">
        <v>0.78200000000000003</v>
      </c>
      <c r="Q13" s="118">
        <v>0.77900000000000003</v>
      </c>
    </row>
    <row r="14" spans="1:17" s="51" customFormat="1" ht="16.75">
      <c r="A14" s="58" t="s">
        <v>215</v>
      </c>
      <c r="B14" s="119">
        <v>0.65100000000000002</v>
      </c>
      <c r="C14" s="119">
        <v>0.48299999999999998</v>
      </c>
      <c r="D14" s="119">
        <v>0.44600000000000001</v>
      </c>
      <c r="E14" s="119">
        <v>0.49199999999999999</v>
      </c>
      <c r="F14" s="119">
        <v>0.40899999999999997</v>
      </c>
      <c r="G14" s="119">
        <v>0.38700000000000001</v>
      </c>
      <c r="H14" s="119">
        <v>0.38300000000000001</v>
      </c>
      <c r="I14" s="119">
        <v>0.26600000000000001</v>
      </c>
      <c r="J14" s="119">
        <v>0.28699999999999998</v>
      </c>
      <c r="K14" s="119">
        <v>0.27600000000000002</v>
      </c>
      <c r="L14" s="119">
        <v>0.249</v>
      </c>
      <c r="M14" s="119">
        <v>0.17499999999999999</v>
      </c>
      <c r="N14" s="119">
        <v>0.18099999999999999</v>
      </c>
      <c r="O14" s="119">
        <v>0.17899999999999999</v>
      </c>
      <c r="P14" s="119">
        <v>0.18099999999999999</v>
      </c>
      <c r="Q14" s="119">
        <v>0.182</v>
      </c>
    </row>
    <row r="15" spans="1:17" s="46" customFormat="1" ht="16.75">
      <c r="A15" s="121" t="s">
        <v>216</v>
      </c>
      <c r="B15" s="202">
        <f t="shared" ref="B15:G15" si="7">+B9-SUM(B11:B14)</f>
        <v>164.77300000000014</v>
      </c>
      <c r="C15" s="202">
        <f t="shared" si="7"/>
        <v>51.523000000000025</v>
      </c>
      <c r="D15" s="202">
        <f t="shared" si="7"/>
        <v>93.434999999999945</v>
      </c>
      <c r="E15" s="202">
        <f t="shared" si="7"/>
        <v>105.99400000000003</v>
      </c>
      <c r="F15" s="202">
        <f t="shared" si="7"/>
        <v>55.015000000000043</v>
      </c>
      <c r="G15" s="202">
        <f t="shared" si="7"/>
        <v>128.79899999999998</v>
      </c>
      <c r="H15" s="202">
        <f t="shared" ref="H15:I15" si="8">+H9-SUM(H11:H14)</f>
        <v>157.37399999999997</v>
      </c>
      <c r="I15" s="202">
        <f t="shared" si="8"/>
        <v>151.71999999999997</v>
      </c>
      <c r="J15" s="202">
        <f t="shared" ref="J15" si="9">+J9-SUM(J11:J14)</f>
        <v>131.61700000000002</v>
      </c>
      <c r="K15" s="202">
        <f t="shared" ref="K15:L15" si="10">+K9-SUM(K11:K14)</f>
        <v>150.07599999999996</v>
      </c>
      <c r="L15" s="202">
        <f t="shared" si="10"/>
        <v>182.00300000000001</v>
      </c>
      <c r="M15" s="202">
        <f t="shared" ref="M15:N15" si="11">+M9-SUM(M11:M14)</f>
        <v>202.73099999999999</v>
      </c>
      <c r="N15" s="202">
        <f t="shared" si="11"/>
        <v>171.46399999999997</v>
      </c>
      <c r="O15" s="202">
        <f t="shared" ref="O15:P15" si="12">+O9-SUM(O11:O14)</f>
        <v>176.36999999999998</v>
      </c>
      <c r="P15" s="202">
        <f t="shared" si="12"/>
        <v>205.37299999999999</v>
      </c>
      <c r="Q15" s="202">
        <f>+Q9-SUM(Q11:Q14)</f>
        <v>230.73000000000002</v>
      </c>
    </row>
    <row r="20" spans="2:10" s="122" customFormat="1">
      <c r="B20" s="123"/>
      <c r="C20" s="123"/>
      <c r="D20" s="123"/>
      <c r="E20" s="123"/>
      <c r="F20" s="123"/>
      <c r="G20" s="123"/>
      <c r="H20" s="123"/>
      <c r="I20" s="123"/>
      <c r="J20" s="123"/>
    </row>
    <row r="21" spans="2:10" s="124" customFormat="1"/>
    <row r="22" spans="2:10" s="122" customFormat="1"/>
  </sheetData>
  <pageMargins left="0.25" right="0.25" top="0.75" bottom="0.75" header="0.3" footer="0.3"/>
  <pageSetup scale="6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515E2-63B2-4125-80EE-C27C785ACD63}">
  <sheetPr codeName="Sheet10">
    <tabColor rgb="FF0079FF"/>
  </sheetPr>
  <dimension ref="A1:G20"/>
  <sheetViews>
    <sheetView zoomScale="65" zoomScaleNormal="65" workbookViewId="0">
      <pane xSplit="1" ySplit="4" topLeftCell="B5" activePane="bottomRight" state="frozen"/>
      <selection pane="topRight" activeCell="B1" sqref="B1"/>
      <selection pane="bottomLeft" activeCell="A5" sqref="A5"/>
      <selection pane="bottomRight" activeCell="B5" sqref="B5"/>
    </sheetView>
  </sheetViews>
  <sheetFormatPr defaultColWidth="9.1328125" defaultRowHeight="10.5"/>
  <cols>
    <col min="1" max="1" width="64.40625" style="37" bestFit="1" customWidth="1"/>
    <col min="2" max="5" width="15.40625" style="37" customWidth="1"/>
    <col min="6" max="6" width="2" style="38" customWidth="1"/>
    <col min="7" max="7" width="15.40625" style="37" bestFit="1" customWidth="1"/>
    <col min="8" max="16384" width="9.1328125" style="37"/>
  </cols>
  <sheetData>
    <row r="1" spans="1:7" ht="18">
      <c r="A1" s="5" t="s">
        <v>13</v>
      </c>
    </row>
    <row r="2" spans="1:7">
      <c r="A2" s="38"/>
      <c r="B2" s="38"/>
      <c r="C2" s="38"/>
      <c r="D2" s="38"/>
      <c r="E2" s="38"/>
      <c r="G2" s="38"/>
    </row>
    <row r="3" spans="1:7" s="7" customFormat="1" ht="30" customHeight="1">
      <c r="A3" s="41"/>
      <c r="B3" s="355" t="s">
        <v>21</v>
      </c>
      <c r="C3" s="355"/>
      <c r="D3" s="355"/>
      <c r="E3" s="355"/>
      <c r="F3" s="38"/>
      <c r="G3" s="40" t="s">
        <v>22</v>
      </c>
    </row>
    <row r="4" spans="1:7" s="7" customFormat="1" ht="30" customHeight="1">
      <c r="A4" s="41" t="s">
        <v>24</v>
      </c>
      <c r="B4" s="42" t="s">
        <v>23</v>
      </c>
      <c r="C4" s="42" t="s">
        <v>92</v>
      </c>
      <c r="D4" s="42" t="s">
        <v>93</v>
      </c>
      <c r="E4" s="42" t="s">
        <v>94</v>
      </c>
      <c r="F4" s="38"/>
      <c r="G4" s="42" t="s">
        <v>94</v>
      </c>
    </row>
    <row r="5" spans="1:7" s="51" customFormat="1" ht="16.75">
      <c r="A5" s="70"/>
      <c r="F5" s="38"/>
    </row>
    <row r="6" spans="1:7" s="51" customFormat="1" ht="16.75">
      <c r="A6" s="121" t="s">
        <v>103</v>
      </c>
      <c r="B6" s="55">
        <v>216.566</v>
      </c>
      <c r="C6" s="55">
        <v>210.16499999999999</v>
      </c>
      <c r="D6" s="55">
        <v>218.547</v>
      </c>
      <c r="E6" s="55">
        <v>265.10899999999998</v>
      </c>
      <c r="F6" s="38"/>
      <c r="G6" s="55">
        <v>910.38699999999994</v>
      </c>
    </row>
    <row r="7" spans="1:7" s="51" customFormat="1" ht="16.75">
      <c r="A7" s="117" t="s">
        <v>217</v>
      </c>
      <c r="B7" s="85">
        <v>6.7590000000000003</v>
      </c>
      <c r="C7" s="85">
        <v>6.4290000000000003</v>
      </c>
      <c r="D7" s="85">
        <v>6.1139999999999999</v>
      </c>
      <c r="E7" s="85">
        <v>5.9459999999999997</v>
      </c>
      <c r="F7" s="38"/>
      <c r="G7" s="85">
        <v>25.248000000000001</v>
      </c>
    </row>
    <row r="8" spans="1:7" s="51" customFormat="1" ht="16.75">
      <c r="A8" s="121" t="s">
        <v>218</v>
      </c>
      <c r="B8" s="55">
        <v>209.80699999999999</v>
      </c>
      <c r="C8" s="55">
        <v>203.73599999999999</v>
      </c>
      <c r="D8" s="55">
        <v>212.43299999999999</v>
      </c>
      <c r="E8" s="55">
        <v>259.16300000000001</v>
      </c>
      <c r="F8" s="38"/>
      <c r="G8" s="55">
        <v>885.13900000000001</v>
      </c>
    </row>
    <row r="9" spans="1:7" s="51" customFormat="1" ht="24.75" customHeight="1">
      <c r="A9" s="80"/>
      <c r="B9" s="274"/>
      <c r="C9" s="274"/>
      <c r="D9" s="274"/>
      <c r="E9" s="274"/>
      <c r="F9" s="38"/>
      <c r="G9" s="274"/>
    </row>
    <row r="10" spans="1:7" s="51" customFormat="1" ht="16.75">
      <c r="A10" s="121" t="s">
        <v>219</v>
      </c>
      <c r="B10" s="55">
        <v>217.19300000000001</v>
      </c>
      <c r="C10" s="55">
        <v>210.40700000000001</v>
      </c>
      <c r="D10" s="55">
        <v>218.667</v>
      </c>
      <c r="E10" s="55">
        <v>265.22000000000003</v>
      </c>
      <c r="F10" s="38"/>
      <c r="G10" s="55">
        <v>911.48699999999997</v>
      </c>
    </row>
    <row r="11" spans="1:7" s="51" customFormat="1" ht="16.75">
      <c r="A11" s="117" t="s">
        <v>217</v>
      </c>
      <c r="B11" s="85">
        <v>6.7590000000000003</v>
      </c>
      <c r="C11" s="85">
        <v>6.4290000000000003</v>
      </c>
      <c r="D11" s="85">
        <v>6.1139999999999999</v>
      </c>
      <c r="E11" s="85">
        <v>5.9459999999999997</v>
      </c>
      <c r="F11" s="38"/>
      <c r="G11" s="85">
        <v>25.248000000000001</v>
      </c>
    </row>
    <row r="12" spans="1:7" s="51" customFormat="1" ht="16.75">
      <c r="A12" s="121" t="s">
        <v>220</v>
      </c>
      <c r="B12" s="55">
        <v>210.434</v>
      </c>
      <c r="C12" s="55">
        <v>203.97800000000001</v>
      </c>
      <c r="D12" s="55">
        <v>212.553</v>
      </c>
      <c r="E12" s="55">
        <v>259.274</v>
      </c>
      <c r="F12" s="38"/>
      <c r="G12" s="55">
        <v>886.23900000000003</v>
      </c>
    </row>
    <row r="13" spans="1:7" s="51" customFormat="1" ht="16.75">
      <c r="A13" s="80"/>
      <c r="F13" s="38"/>
    </row>
    <row r="14" spans="1:7">
      <c r="C14" s="290"/>
    </row>
    <row r="20" spans="1:1" ht="16.75">
      <c r="A20" s="51"/>
    </row>
  </sheetData>
  <mergeCells count="1">
    <mergeCell ref="B3:E3"/>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E6CAD-B950-4F40-9F9C-9CBA0D92B136}">
  <sheetPr codeName="Sheet15">
    <tabColor rgb="FFFFFFFF"/>
  </sheetPr>
  <dimension ref="A1"/>
  <sheetViews>
    <sheetView showGridLines="0" workbookViewId="0">
      <selection activeCell="A57" sqref="A57:XFD57"/>
    </sheetView>
  </sheetViews>
  <sheetFormatPr defaultColWidth="9" defaultRowHeight="14.75"/>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1930F-D22E-41B1-AC4D-EFC9886179CA}">
  <sheetPr codeName="Sheet16">
    <tabColor rgb="FFFFFFFF"/>
    <pageSetUpPr fitToPage="1"/>
  </sheetPr>
  <dimension ref="A1:AC123"/>
  <sheetViews>
    <sheetView zoomScale="65" zoomScaleNormal="65" zoomScaleSheetLayoutView="85" workbookViewId="0">
      <pane xSplit="1" ySplit="4" topLeftCell="B5" activePane="bottomRight" state="frozen"/>
      <selection pane="topRight" activeCell="B1" sqref="B1"/>
      <selection pane="bottomLeft" activeCell="A5" sqref="A5"/>
      <selection pane="bottomRight" activeCell="B5" sqref="B5"/>
    </sheetView>
  </sheetViews>
  <sheetFormatPr defaultColWidth="9.1328125" defaultRowHeight="10.5" outlineLevelCol="1"/>
  <cols>
    <col min="1" max="1" width="73.26953125" style="60" bestFit="1" customWidth="1"/>
    <col min="2" max="2" width="1" style="37" customWidth="1"/>
    <col min="3" max="6" width="28.1328125" style="60" hidden="1" customWidth="1" outlineLevel="1"/>
    <col min="7" max="7" width="1.40625" style="37" hidden="1" customWidth="1" outlineLevel="1"/>
    <col min="8" max="8" width="28.1328125" style="60" customWidth="1" collapsed="1"/>
    <col min="9" max="9" width="1.40625" style="37" customWidth="1"/>
    <col min="10" max="13" width="26.40625" style="37" hidden="1" customWidth="1" outlineLevel="1"/>
    <col min="14" max="14" width="1.86328125" style="37" hidden="1" customWidth="1" outlineLevel="1"/>
    <col min="15" max="15" width="26.40625" style="37" customWidth="1" collapsed="1"/>
    <col min="16" max="16" width="1.40625" style="37" customWidth="1"/>
    <col min="17" max="17" width="23.1328125" style="37" customWidth="1"/>
    <col min="18" max="20" width="21.86328125" style="37" customWidth="1"/>
    <col min="21" max="21" width="1.40625" style="37" customWidth="1"/>
    <col min="22" max="22" width="19.86328125" style="37" customWidth="1"/>
    <col min="23" max="23" width="4.40625" style="37" customWidth="1"/>
    <col min="24" max="27" width="21.86328125" style="37" customWidth="1"/>
    <col min="28" max="28" width="3.40625" style="37" customWidth="1"/>
    <col min="29" max="29" width="19.86328125" style="37" customWidth="1"/>
    <col min="30" max="16384" width="9.1328125" style="37"/>
  </cols>
  <sheetData>
    <row r="1" spans="1:29" ht="18">
      <c r="A1" s="5" t="s">
        <v>14</v>
      </c>
      <c r="C1" s="37"/>
      <c r="D1" s="37"/>
      <c r="E1" s="37"/>
      <c r="F1" s="37"/>
      <c r="H1" s="37"/>
    </row>
    <row r="2" spans="1:29">
      <c r="A2" s="38"/>
      <c r="C2" s="37"/>
      <c r="D2" s="37"/>
      <c r="E2" s="37"/>
      <c r="F2" s="37"/>
      <c r="H2" s="37"/>
    </row>
    <row r="3" spans="1:29" s="7" customFormat="1" ht="30" customHeight="1">
      <c r="A3" s="39"/>
      <c r="C3" s="355" t="s">
        <v>21</v>
      </c>
      <c r="D3" s="355"/>
      <c r="E3" s="355"/>
      <c r="F3" s="355"/>
      <c r="G3" s="138"/>
      <c r="H3" s="40" t="s">
        <v>22</v>
      </c>
      <c r="J3" s="355" t="s">
        <v>21</v>
      </c>
      <c r="K3" s="355"/>
      <c r="L3" s="355"/>
      <c r="M3" s="355"/>
      <c r="N3" s="138"/>
      <c r="O3" s="40" t="s">
        <v>22</v>
      </c>
      <c r="Q3" s="355" t="s">
        <v>21</v>
      </c>
      <c r="R3" s="355"/>
      <c r="S3" s="355"/>
      <c r="T3" s="355"/>
      <c r="V3" s="40" t="s">
        <v>22</v>
      </c>
      <c r="X3" s="355" t="s">
        <v>221</v>
      </c>
      <c r="Y3" s="355"/>
      <c r="Z3" s="355"/>
      <c r="AA3" s="355"/>
      <c r="AC3" s="40" t="s">
        <v>22</v>
      </c>
    </row>
    <row r="4" spans="1:29" s="7" customFormat="1" ht="30" customHeight="1">
      <c r="A4" s="41" t="s">
        <v>24</v>
      </c>
      <c r="C4" s="42" t="s">
        <v>80</v>
      </c>
      <c r="D4" s="42" t="s">
        <v>81</v>
      </c>
      <c r="E4" s="42" t="s">
        <v>82</v>
      </c>
      <c r="F4" s="42" t="s">
        <v>83</v>
      </c>
      <c r="G4" s="139"/>
      <c r="H4" s="42" t="s">
        <v>83</v>
      </c>
      <c r="J4" s="42" t="s">
        <v>84</v>
      </c>
      <c r="K4" s="42" t="s">
        <v>85</v>
      </c>
      <c r="L4" s="42" t="s">
        <v>86</v>
      </c>
      <c r="M4" s="42" t="s">
        <v>87</v>
      </c>
      <c r="N4" s="139"/>
      <c r="O4" s="42" t="s">
        <v>87</v>
      </c>
      <c r="Q4" s="42" t="s">
        <v>88</v>
      </c>
      <c r="R4" s="42" t="s">
        <v>89</v>
      </c>
      <c r="S4" s="42" t="s">
        <v>90</v>
      </c>
      <c r="T4" s="42" t="s">
        <v>91</v>
      </c>
      <c r="V4" s="42" t="s">
        <v>91</v>
      </c>
      <c r="X4" s="42" t="s">
        <v>23</v>
      </c>
      <c r="Y4" s="42" t="s">
        <v>92</v>
      </c>
      <c r="Z4" s="42" t="s">
        <v>93</v>
      </c>
      <c r="AA4" s="42" t="s">
        <v>94</v>
      </c>
      <c r="AC4" s="42" t="s">
        <v>94</v>
      </c>
    </row>
    <row r="5" spans="1:29">
      <c r="A5" s="43"/>
      <c r="C5" s="37"/>
      <c r="D5" s="37"/>
      <c r="E5" s="37"/>
      <c r="F5" s="37"/>
      <c r="H5" s="37"/>
    </row>
    <row r="6" spans="1:29" s="46" customFormat="1" ht="16.75">
      <c r="A6" s="44" t="s">
        <v>222</v>
      </c>
      <c r="B6" s="47"/>
      <c r="C6" s="45">
        <f>+C7+C9+C8</f>
        <v>129.07</v>
      </c>
      <c r="D6" s="45">
        <f t="shared" ref="D6:H6" si="0">+D7+D9+D8</f>
        <v>139.267</v>
      </c>
      <c r="E6" s="45">
        <f t="shared" si="0"/>
        <v>150.233</v>
      </c>
      <c r="F6" s="45">
        <f t="shared" si="0"/>
        <v>157.05400000000003</v>
      </c>
      <c r="G6" s="136"/>
      <c r="H6" s="45">
        <f t="shared" si="0"/>
        <v>575.62400000000002</v>
      </c>
      <c r="J6" s="45">
        <f t="shared" ref="J6" si="1">+J7+J9+J8</f>
        <v>144.453</v>
      </c>
      <c r="K6" s="45">
        <f t="shared" ref="K6" si="2">+K7+K9+K8</f>
        <v>156.178</v>
      </c>
      <c r="L6" s="45">
        <f t="shared" ref="L6" si="3">+L7+L9+L8</f>
        <v>158.81100000000001</v>
      </c>
      <c r="M6" s="45">
        <f t="shared" ref="M6" si="4">+M7+M9+M8</f>
        <v>173.68700000000001</v>
      </c>
      <c r="N6" s="136"/>
      <c r="O6" s="45">
        <f t="shared" ref="O6" si="5">+O7+O9+O8</f>
        <v>633.12900000000002</v>
      </c>
      <c r="Q6" s="45">
        <f t="shared" ref="Q6" si="6">+Q7+Q9+Q8</f>
        <v>159.36699999999999</v>
      </c>
      <c r="R6" s="45">
        <f t="shared" ref="R6" si="7">+R7+R9+R8</f>
        <v>166.44</v>
      </c>
      <c r="S6" s="45">
        <f t="shared" ref="S6" si="8">+S7+S9+S8</f>
        <v>174.22200000000001</v>
      </c>
      <c r="T6" s="45">
        <f t="shared" ref="T6" si="9">+T7+T9+T8</f>
        <v>185.50799999999998</v>
      </c>
      <c r="V6" s="45">
        <f>Q6+R6+S6+T6</f>
        <v>685.53700000000003</v>
      </c>
      <c r="X6" s="45">
        <f>+X7+X9+X8</f>
        <v>166.43900000000002</v>
      </c>
      <c r="Y6" s="45">
        <f>+Y7+Y9+Y8</f>
        <v>160.999</v>
      </c>
      <c r="Z6" s="45">
        <f>+Z7+Z9+Z8</f>
        <v>161.11700000000002</v>
      </c>
      <c r="AA6" s="45">
        <f>+AA7+AA9+AA8</f>
        <v>210.69299999999998</v>
      </c>
      <c r="AC6" s="45">
        <f t="shared" ref="AC6:AC13" si="10">+X6+Y6+Z6+AA6</f>
        <v>699.24800000000005</v>
      </c>
    </row>
    <row r="7" spans="1:29" s="46" customFormat="1" ht="16.75">
      <c r="A7" s="48" t="s">
        <v>223</v>
      </c>
      <c r="B7" s="50"/>
      <c r="C7" s="49">
        <f>'SaaS Revenue Reconciliation'!B8</f>
        <v>40.887999999999998</v>
      </c>
      <c r="D7" s="49">
        <f>'SaaS Revenue Reconciliation'!C8</f>
        <v>48.228999999999999</v>
      </c>
      <c r="E7" s="49">
        <f>'SaaS Revenue Reconciliation'!D8</f>
        <v>58.983000000000004</v>
      </c>
      <c r="F7" s="49">
        <f>'SaaS Revenue Reconciliation'!E8</f>
        <v>69.852000000000004</v>
      </c>
      <c r="G7" s="140"/>
      <c r="H7" s="49">
        <f t="shared" ref="H7:H13" si="11">+C7+D7+E7+F7</f>
        <v>217.952</v>
      </c>
      <c r="J7" s="49">
        <f>'SaaS Revenue Reconciliation'!I8</f>
        <v>63.591999999999999</v>
      </c>
      <c r="K7" s="49">
        <f>'SaaS Revenue Reconciliation'!J8</f>
        <v>76.384</v>
      </c>
      <c r="L7" s="49">
        <f>'SaaS Revenue Reconciliation'!K8</f>
        <v>82.103000000000009</v>
      </c>
      <c r="M7" s="49">
        <f>'SaaS Revenue Reconciliation'!L8</f>
        <v>100.685</v>
      </c>
      <c r="N7" s="140"/>
      <c r="O7" s="49">
        <f t="shared" ref="O7:O13" si="12">+J7+K7+L7+M7</f>
        <v>322.76400000000001</v>
      </c>
      <c r="Q7" s="49">
        <f>'SaaS Revenue Reconciliation'!P8</f>
        <v>94.72999999999999</v>
      </c>
      <c r="R7" s="49">
        <f>'SaaS Revenue Reconciliation'!Q8</f>
        <v>102.554</v>
      </c>
      <c r="S7" s="49">
        <f>'SaaS Revenue Reconciliation'!R8</f>
        <v>115.78700000000001</v>
      </c>
      <c r="T7" s="49">
        <f>'SaaS Revenue Reconciliation'!S8</f>
        <v>131.13399999999999</v>
      </c>
      <c r="V7" s="49">
        <f t="shared" ref="V7:V31" si="13">Q7+R7+S7+T7</f>
        <v>444.20500000000004</v>
      </c>
      <c r="X7" s="49">
        <f>'SaaS Revenue Reconciliation'!W8</f>
        <v>117.148</v>
      </c>
      <c r="Y7" s="49">
        <f>'SaaS Revenue Reconciliation'!X8</f>
        <v>113.441</v>
      </c>
      <c r="Z7" s="49">
        <f>'SaaS Revenue Reconciliation'!Y8</f>
        <v>115.651</v>
      </c>
      <c r="AA7" s="49">
        <f>'SaaS Revenue Reconciliation'!Z8</f>
        <v>168.58799999999999</v>
      </c>
      <c r="AC7" s="49">
        <f t="shared" si="10"/>
        <v>514.82799999999997</v>
      </c>
    </row>
    <row r="8" spans="1:29" s="46" customFormat="1" ht="16.75">
      <c r="A8" s="48" t="s">
        <v>224</v>
      </c>
      <c r="B8" s="50"/>
      <c r="C8" s="49">
        <v>14.132</v>
      </c>
      <c r="D8" s="49">
        <v>14.327999999999999</v>
      </c>
      <c r="E8" s="49">
        <v>14.884</v>
      </c>
      <c r="F8" s="49">
        <v>16.114999999999998</v>
      </c>
      <c r="G8" s="140"/>
      <c r="H8" s="49">
        <f t="shared" ref="H8" si="14">+C8+D8+E8+F8</f>
        <v>59.459000000000003</v>
      </c>
      <c r="J8" s="49">
        <v>16.457999999999998</v>
      </c>
      <c r="K8" s="49">
        <v>16.872</v>
      </c>
      <c r="L8" s="49">
        <v>16.358000000000001</v>
      </c>
      <c r="M8" s="49">
        <v>15.96</v>
      </c>
      <c r="N8" s="140"/>
      <c r="O8" s="49">
        <f t="shared" ref="O8" si="15">+J8+K8+L8+M8</f>
        <v>65.647999999999996</v>
      </c>
      <c r="Q8" s="49">
        <v>15.913</v>
      </c>
      <c r="R8" s="49">
        <v>15.778</v>
      </c>
      <c r="S8" s="49">
        <v>15.436</v>
      </c>
      <c r="T8" s="49">
        <v>14.260999999999999</v>
      </c>
      <c r="V8" s="49">
        <f t="shared" ref="V8" si="16">Q8+R8+S8+T8</f>
        <v>61.388000000000005</v>
      </c>
      <c r="X8" s="49">
        <v>12.865</v>
      </c>
      <c r="Y8" s="49">
        <v>12.164999999999999</v>
      </c>
      <c r="Z8" s="49">
        <v>11.842000000000001</v>
      </c>
      <c r="AA8" s="49">
        <v>10.846</v>
      </c>
      <c r="AC8" s="49">
        <f t="shared" si="10"/>
        <v>47.718000000000004</v>
      </c>
    </row>
    <row r="9" spans="1:29" s="46" customFormat="1" ht="15" customHeight="1">
      <c r="A9" s="48" t="s">
        <v>225</v>
      </c>
      <c r="B9" s="51"/>
      <c r="C9" s="52">
        <v>74.05</v>
      </c>
      <c r="D9" s="52">
        <v>76.709999999999994</v>
      </c>
      <c r="E9" s="52">
        <v>76.366</v>
      </c>
      <c r="F9" s="52">
        <v>71.087000000000003</v>
      </c>
      <c r="G9" s="137"/>
      <c r="H9" s="52">
        <f t="shared" si="11"/>
        <v>298.21299999999997</v>
      </c>
      <c r="J9" s="52">
        <v>64.403000000000006</v>
      </c>
      <c r="K9" s="52">
        <v>62.921999999999997</v>
      </c>
      <c r="L9" s="52">
        <v>60.35</v>
      </c>
      <c r="M9" s="52">
        <v>57.042000000000002</v>
      </c>
      <c r="N9" s="137"/>
      <c r="O9" s="52">
        <f t="shared" si="12"/>
        <v>244.71700000000001</v>
      </c>
      <c r="Q9" s="52">
        <v>48.723999999999997</v>
      </c>
      <c r="R9" s="52">
        <v>48.107999999999997</v>
      </c>
      <c r="S9" s="52">
        <v>42.999000000000002</v>
      </c>
      <c r="T9" s="52">
        <v>40.113</v>
      </c>
      <c r="V9" s="52">
        <f t="shared" si="13"/>
        <v>179.94399999999999</v>
      </c>
      <c r="X9" s="52">
        <v>36.426000000000002</v>
      </c>
      <c r="Y9" s="52">
        <v>35.393000000000001</v>
      </c>
      <c r="Z9" s="52">
        <v>33.624000000000002</v>
      </c>
      <c r="AA9" s="52">
        <v>31.259</v>
      </c>
      <c r="AC9" s="52">
        <f t="shared" si="10"/>
        <v>136.702</v>
      </c>
    </row>
    <row r="10" spans="1:29" s="46" customFormat="1" ht="16.75">
      <c r="A10" s="44" t="s">
        <v>226</v>
      </c>
      <c r="B10" s="54"/>
      <c r="C10" s="53">
        <f>+C11+C12</f>
        <v>56.795000000000002</v>
      </c>
      <c r="D10" s="53">
        <f>+D11+D12</f>
        <v>64.813000000000002</v>
      </c>
      <c r="E10" s="53">
        <f>+E11+E12</f>
        <v>64.989000000000004</v>
      </c>
      <c r="F10" s="53">
        <f>+F11+F12</f>
        <v>68.025999999999996</v>
      </c>
      <c r="G10" s="141"/>
      <c r="H10" s="53">
        <f t="shared" si="11"/>
        <v>254.62299999999999</v>
      </c>
      <c r="J10" s="53">
        <f>+J11+J12</f>
        <v>56.451000000000001</v>
      </c>
      <c r="K10" s="53">
        <f>+K11+K12</f>
        <v>58.438999999999993</v>
      </c>
      <c r="L10" s="53">
        <f>+L11+L12</f>
        <v>66.009</v>
      </c>
      <c r="M10" s="53">
        <f>+M11+M12</f>
        <v>60.480999999999995</v>
      </c>
      <c r="N10" s="141"/>
      <c r="O10" s="53">
        <f t="shared" si="12"/>
        <v>241.38</v>
      </c>
      <c r="Q10" s="53">
        <f>+Q11+Q12</f>
        <v>58.539000000000001</v>
      </c>
      <c r="R10" s="53">
        <f>+R11+R12</f>
        <v>56.459000000000003</v>
      </c>
      <c r="S10" s="53">
        <f>+S11+S12</f>
        <v>50.971000000000004</v>
      </c>
      <c r="T10" s="53">
        <f>+T11+T12</f>
        <v>50.739000000000004</v>
      </c>
      <c r="V10" s="53">
        <f t="shared" si="13"/>
        <v>216.708</v>
      </c>
      <c r="X10" s="53">
        <f>+X11+X12</f>
        <v>50.126999999999995</v>
      </c>
      <c r="Y10" s="53">
        <f>+Y11+Y12</f>
        <v>49.165999999999997</v>
      </c>
      <c r="Z10" s="53">
        <f>+Z11+Z12</f>
        <v>57.429999999999993</v>
      </c>
      <c r="AA10" s="53">
        <f>+AA11+AA12</f>
        <v>54.415999999999997</v>
      </c>
      <c r="AC10" s="53">
        <f t="shared" si="10"/>
        <v>211.13899999999998</v>
      </c>
    </row>
    <row r="11" spans="1:29" s="46" customFormat="1" ht="16.75">
      <c r="A11" s="48" t="s">
        <v>227</v>
      </c>
      <c r="B11" s="50"/>
      <c r="C11" s="49">
        <v>28.524999999999999</v>
      </c>
      <c r="D11" s="49">
        <v>35.829000000000001</v>
      </c>
      <c r="E11" s="49">
        <v>35.460999999999999</v>
      </c>
      <c r="F11" s="49">
        <v>42.024999999999999</v>
      </c>
      <c r="G11" s="140"/>
      <c r="H11" s="49">
        <f t="shared" si="11"/>
        <v>141.84</v>
      </c>
      <c r="J11" s="49">
        <v>29.323</v>
      </c>
      <c r="K11" s="49">
        <v>32.348999999999997</v>
      </c>
      <c r="L11" s="49">
        <v>40.436</v>
      </c>
      <c r="M11" s="49">
        <v>35.97</v>
      </c>
      <c r="N11" s="140"/>
      <c r="O11" s="49">
        <f t="shared" si="12"/>
        <v>138.078</v>
      </c>
      <c r="Q11" s="49">
        <v>33.258000000000003</v>
      </c>
      <c r="R11" s="49">
        <v>30.79</v>
      </c>
      <c r="S11" s="49">
        <v>24.425000000000001</v>
      </c>
      <c r="T11" s="49">
        <v>28.138000000000002</v>
      </c>
      <c r="V11" s="49">
        <f t="shared" si="13"/>
        <v>116.611</v>
      </c>
      <c r="X11" s="49">
        <v>24.334</v>
      </c>
      <c r="Y11" s="49">
        <v>25.212</v>
      </c>
      <c r="Z11" s="49">
        <v>24.556999999999999</v>
      </c>
      <c r="AA11" s="49">
        <v>25.75</v>
      </c>
      <c r="AC11" s="49">
        <f t="shared" si="10"/>
        <v>99.852999999999994</v>
      </c>
    </row>
    <row r="12" spans="1:29" s="46" customFormat="1" ht="16.75">
      <c r="A12" s="58" t="s">
        <v>228</v>
      </c>
      <c r="B12" s="54"/>
      <c r="C12" s="125">
        <v>28.27</v>
      </c>
      <c r="D12" s="125">
        <v>28.984000000000002</v>
      </c>
      <c r="E12" s="125">
        <v>29.527999999999999</v>
      </c>
      <c r="F12" s="125">
        <v>26.001000000000001</v>
      </c>
      <c r="G12" s="142"/>
      <c r="H12" s="125">
        <f t="shared" si="11"/>
        <v>112.78300000000002</v>
      </c>
      <c r="J12" s="125">
        <v>27.128</v>
      </c>
      <c r="K12" s="125">
        <v>26.09</v>
      </c>
      <c r="L12" s="125">
        <v>25.573</v>
      </c>
      <c r="M12" s="125">
        <v>24.510999999999999</v>
      </c>
      <c r="N12" s="142"/>
      <c r="O12" s="125">
        <f t="shared" si="12"/>
        <v>103.30199999999999</v>
      </c>
      <c r="Q12" s="125">
        <v>25.280999999999999</v>
      </c>
      <c r="R12" s="125">
        <v>25.669</v>
      </c>
      <c r="S12" s="125">
        <v>26.545999999999999</v>
      </c>
      <c r="T12" s="125">
        <v>22.600999999999999</v>
      </c>
      <c r="V12" s="125">
        <f t="shared" si="13"/>
        <v>100.09700000000001</v>
      </c>
      <c r="X12" s="125">
        <v>25.792999999999999</v>
      </c>
      <c r="Y12" s="125">
        <v>23.954000000000001</v>
      </c>
      <c r="Z12" s="125">
        <v>32.872999999999998</v>
      </c>
      <c r="AA12" s="125">
        <v>28.666</v>
      </c>
      <c r="AC12" s="125">
        <f t="shared" si="10"/>
        <v>111.286</v>
      </c>
    </row>
    <row r="13" spans="1:29" s="46" customFormat="1" ht="16.75">
      <c r="A13" s="44" t="s">
        <v>229</v>
      </c>
      <c r="B13" s="47"/>
      <c r="C13" s="127">
        <f>+C6+C10</f>
        <v>185.86500000000001</v>
      </c>
      <c r="D13" s="127">
        <f>+D6+D10</f>
        <v>204.07999999999998</v>
      </c>
      <c r="E13" s="127">
        <f>+E6+E10</f>
        <v>215.22200000000001</v>
      </c>
      <c r="F13" s="127">
        <f>+F6+F10</f>
        <v>225.08000000000004</v>
      </c>
      <c r="G13" s="136"/>
      <c r="H13" s="127">
        <f t="shared" si="11"/>
        <v>830.24700000000007</v>
      </c>
      <c r="J13" s="127">
        <f>+J6+J10</f>
        <v>200.904</v>
      </c>
      <c r="K13" s="127">
        <f>+K6+K10</f>
        <v>214.61699999999999</v>
      </c>
      <c r="L13" s="127">
        <f>+L6+L10</f>
        <v>224.82</v>
      </c>
      <c r="M13" s="127">
        <f>+M6+M10</f>
        <v>234.16800000000001</v>
      </c>
      <c r="N13" s="136"/>
      <c r="O13" s="127">
        <f t="shared" si="12"/>
        <v>874.5089999999999</v>
      </c>
      <c r="Q13" s="127">
        <f>+Q6+Q10</f>
        <v>217.90600000000001</v>
      </c>
      <c r="R13" s="127">
        <f>+R6+R10</f>
        <v>222.899</v>
      </c>
      <c r="S13" s="127">
        <f>+S6+S10</f>
        <v>225.19300000000001</v>
      </c>
      <c r="T13" s="127">
        <f>+T6+T10</f>
        <v>236.24699999999999</v>
      </c>
      <c r="V13" s="127">
        <f t="shared" si="13"/>
        <v>902.245</v>
      </c>
      <c r="X13" s="127">
        <f>+X6+X10</f>
        <v>216.56600000000003</v>
      </c>
      <c r="Y13" s="127">
        <f>+Y6+Y10</f>
        <v>210.16499999999999</v>
      </c>
      <c r="Z13" s="127">
        <f>+Z6+Z10</f>
        <v>218.54700000000003</v>
      </c>
      <c r="AA13" s="127">
        <f>+AA6+AA10</f>
        <v>265.10899999999998</v>
      </c>
      <c r="AC13" s="127">
        <f t="shared" si="10"/>
        <v>910.38699999999994</v>
      </c>
    </row>
    <row r="14" spans="1:29" s="46" customFormat="1" ht="16.75">
      <c r="A14" s="44"/>
      <c r="C14" s="128"/>
      <c r="D14" s="128"/>
      <c r="E14" s="128"/>
      <c r="F14" s="128"/>
      <c r="G14" s="128"/>
      <c r="H14" s="128"/>
      <c r="J14" s="128"/>
      <c r="K14" s="128"/>
      <c r="L14" s="128"/>
      <c r="M14" s="128"/>
      <c r="N14" s="128"/>
      <c r="O14" s="128"/>
      <c r="Q14" s="128"/>
      <c r="R14" s="128"/>
      <c r="S14" s="128"/>
      <c r="T14" s="128"/>
      <c r="V14" s="128"/>
      <c r="X14" s="128"/>
      <c r="Y14" s="128"/>
      <c r="Z14" s="128"/>
      <c r="AA14" s="128"/>
      <c r="AC14" s="128"/>
    </row>
    <row r="15" spans="1:29" s="46" customFormat="1" ht="16.75">
      <c r="A15" s="44" t="s">
        <v>230</v>
      </c>
      <c r="C15" s="56">
        <f>C24-C6</f>
        <v>3.2620000000000289</v>
      </c>
      <c r="D15" s="56">
        <f>D24-D6</f>
        <v>3.0660000000000025</v>
      </c>
      <c r="E15" s="56">
        <f>E24-E6</f>
        <v>2.2270000000000039</v>
      </c>
      <c r="F15" s="56">
        <f>F24-F6</f>
        <v>1.7809999999999491</v>
      </c>
      <c r="G15" s="143"/>
      <c r="H15" s="56">
        <f t="shared" ref="H15:H22" si="17">+C15+D15+E15+F15</f>
        <v>10.335999999999984</v>
      </c>
      <c r="J15" s="56">
        <f>J24-J6</f>
        <v>1.0390000000000157</v>
      </c>
      <c r="K15" s="56">
        <f>K24-K6</f>
        <v>1.0130000000000052</v>
      </c>
      <c r="L15" s="56">
        <f>L24-L6</f>
        <v>2.1079999999999757</v>
      </c>
      <c r="M15" s="56">
        <f>M24-M6</f>
        <v>2.0109999999999957</v>
      </c>
      <c r="N15" s="143"/>
      <c r="O15" s="56">
        <f t="shared" ref="O15:O22" si="18">+J15+K15+L15+M15</f>
        <v>6.1709999999999923</v>
      </c>
      <c r="Q15" s="56">
        <f>Q24-Q6</f>
        <v>1.3430000000000177</v>
      </c>
      <c r="R15" s="56">
        <f>R24-R6</f>
        <v>0.73200000000002774</v>
      </c>
      <c r="S15" s="56">
        <f>S24-S6</f>
        <v>0.4229999999999734</v>
      </c>
      <c r="T15" s="56">
        <f>T24-T6</f>
        <v>0.5040000000000191</v>
      </c>
      <c r="V15" s="56">
        <f t="shared" si="13"/>
        <v>3.002000000000038</v>
      </c>
      <c r="X15" s="56">
        <f>X24-X6</f>
        <v>0.62699999999995271</v>
      </c>
      <c r="Y15" s="56">
        <f>Y24-Y6</f>
        <v>0.24199999999999022</v>
      </c>
      <c r="Z15" s="56">
        <f>Z24-Z6</f>
        <v>0.11999999999997613</v>
      </c>
      <c r="AA15" s="56">
        <f>AA24-AA6</f>
        <v>0.11100000000004684</v>
      </c>
      <c r="AC15" s="56">
        <f>+X15+Y15+Z15+AA15</f>
        <v>1.0999999999999659</v>
      </c>
    </row>
    <row r="16" spans="1:29" s="46" customFormat="1" ht="16.75">
      <c r="A16" s="48" t="s">
        <v>231</v>
      </c>
      <c r="B16" s="51"/>
      <c r="C16" s="49">
        <f t="shared" ref="C16:C22" si="19">C25-C7</f>
        <v>2.9260000000000019</v>
      </c>
      <c r="D16" s="49">
        <f t="shared" ref="D16:E16" si="20">D25-D7</f>
        <v>2.75</v>
      </c>
      <c r="E16" s="49">
        <f t="shared" si="20"/>
        <v>1.9439999999999884</v>
      </c>
      <c r="F16" s="49">
        <f t="shared" ref="F16:F17" si="21">F25-F7</f>
        <v>1.5449999999999875</v>
      </c>
      <c r="G16" s="140"/>
      <c r="H16" s="49">
        <f t="shared" si="17"/>
        <v>9.1649999999999778</v>
      </c>
      <c r="J16" s="49">
        <f t="shared" ref="J16:J22" si="22">J25-J7</f>
        <v>0.8440000000000083</v>
      </c>
      <c r="K16" s="49">
        <f t="shared" ref="K16:L17" si="23">K25-K7</f>
        <v>0.87199999999999989</v>
      </c>
      <c r="L16" s="49">
        <f t="shared" si="23"/>
        <v>1.9849999999999852</v>
      </c>
      <c r="M16" s="49">
        <f t="shared" ref="M16:M17" si="24">M25-M7</f>
        <v>1.9200000000000017</v>
      </c>
      <c r="N16" s="140"/>
      <c r="O16" s="49">
        <f t="shared" si="18"/>
        <v>5.6209999999999951</v>
      </c>
      <c r="Q16" s="49">
        <f t="shared" ref="Q16:S17" si="25">Q25-Q7</f>
        <v>1.2690000000000055</v>
      </c>
      <c r="R16" s="49">
        <f t="shared" si="25"/>
        <v>0.68000000000000682</v>
      </c>
      <c r="S16" s="49">
        <f t="shared" ref="S16:T17" si="26">S25-S7</f>
        <v>0.37399999999999523</v>
      </c>
      <c r="T16" s="49">
        <f t="shared" si="26"/>
        <v>0.49000000000000909</v>
      </c>
      <c r="V16" s="49">
        <f t="shared" si="13"/>
        <v>2.8130000000000166</v>
      </c>
      <c r="X16" s="49">
        <f t="shared" ref="X16:Y17" si="27">X25-X7</f>
        <v>0.61199999999999477</v>
      </c>
      <c r="Y16" s="49">
        <f t="shared" si="27"/>
        <v>0.23099999999999454</v>
      </c>
      <c r="Z16" s="49">
        <f t="shared" ref="Z16" si="28">Z25-Z7</f>
        <v>0.11700000000000443</v>
      </c>
      <c r="AA16" s="49">
        <f>AA25-AA7</f>
        <v>0.10900000000000887</v>
      </c>
      <c r="AC16" s="49">
        <f>+X16+Y16+Z16+AA16</f>
        <v>1.0690000000000026</v>
      </c>
    </row>
    <row r="17" spans="1:29" s="46" customFormat="1" ht="16.75">
      <c r="A17" s="48" t="s">
        <v>232</v>
      </c>
      <c r="B17" s="51"/>
      <c r="C17" s="49">
        <f>C26-C8</f>
        <v>0.28100000000000058</v>
      </c>
      <c r="D17" s="49">
        <f t="shared" ref="D17:E17" si="29">D26-D8</f>
        <v>0.26800000000000068</v>
      </c>
      <c r="E17" s="49">
        <f t="shared" si="29"/>
        <v>0.22299999999999898</v>
      </c>
      <c r="F17" s="49">
        <f t="shared" si="21"/>
        <v>0.22600000000000264</v>
      </c>
      <c r="G17" s="140"/>
      <c r="H17" s="49">
        <f t="shared" ref="H17" si="30">+C17+D17+E17+F17</f>
        <v>0.99800000000000288</v>
      </c>
      <c r="J17" s="49">
        <f t="shared" si="22"/>
        <v>0.18700000000000117</v>
      </c>
      <c r="K17" s="49">
        <f t="shared" si="23"/>
        <v>0.13200000000000145</v>
      </c>
      <c r="L17" s="49">
        <f t="shared" si="23"/>
        <v>0.11199999999999832</v>
      </c>
      <c r="M17" s="49">
        <f t="shared" si="24"/>
        <v>8.0999999999999517E-2</v>
      </c>
      <c r="N17" s="140"/>
      <c r="O17" s="49">
        <f t="shared" ref="O17" si="31">+J17+K17+L17+M17</f>
        <v>0.51200000000000045</v>
      </c>
      <c r="Q17" s="49">
        <f>Q26-Q8</f>
        <v>6.0000000000000497E-2</v>
      </c>
      <c r="R17" s="49">
        <f t="shared" si="25"/>
        <v>5.1999999999999602E-2</v>
      </c>
      <c r="S17" s="49">
        <f t="shared" si="25"/>
        <v>4.8999999999999488E-2</v>
      </c>
      <c r="T17" s="49">
        <f t="shared" si="26"/>
        <v>1.4000000000001123E-2</v>
      </c>
      <c r="V17" s="49">
        <f t="shared" ref="V17" si="32">Q17+R17+S17+T17</f>
        <v>0.17500000000000071</v>
      </c>
      <c r="X17" s="49">
        <f t="shared" si="27"/>
        <v>1.5000000000000568E-2</v>
      </c>
      <c r="Y17" s="49">
        <f t="shared" si="27"/>
        <v>1.1000000000001009E-2</v>
      </c>
      <c r="Z17" s="49">
        <f t="shared" ref="Z17" si="33">Z26-Z8</f>
        <v>3.0000000000001137E-3</v>
      </c>
      <c r="AA17" s="49">
        <f>AA26-AA8</f>
        <v>2.0000000000006679E-3</v>
      </c>
      <c r="AC17" s="49">
        <f>+X17+Y17+Z17+AA17</f>
        <v>3.1000000000002359E-2</v>
      </c>
    </row>
    <row r="18" spans="1:29" s="46" customFormat="1" ht="16.75">
      <c r="A18" s="48" t="s">
        <v>233</v>
      </c>
      <c r="B18" s="51"/>
      <c r="C18" s="57">
        <f t="shared" si="19"/>
        <v>5.5000000000006821E-2</v>
      </c>
      <c r="D18" s="57">
        <f t="shared" ref="D18:E18" si="34">D27-D9</f>
        <v>4.8000000000001819E-2</v>
      </c>
      <c r="E18" s="57">
        <f t="shared" si="34"/>
        <v>6.0000000000002274E-2</v>
      </c>
      <c r="F18" s="57">
        <f t="shared" ref="F18" si="35">F27-F9</f>
        <v>9.9999999999909051E-3</v>
      </c>
      <c r="G18" s="142"/>
      <c r="H18" s="57">
        <f t="shared" si="17"/>
        <v>0.17300000000000182</v>
      </c>
      <c r="J18" s="57">
        <f t="shared" si="22"/>
        <v>7.9999999999955662E-3</v>
      </c>
      <c r="K18" s="57">
        <f t="shared" ref="K18:L18" si="36">K27-K9</f>
        <v>9.0000000000003411E-3</v>
      </c>
      <c r="L18" s="57">
        <f t="shared" si="36"/>
        <v>1.099999999999568E-2</v>
      </c>
      <c r="M18" s="57">
        <f t="shared" ref="M18" si="37">M27-M9</f>
        <v>9.9999999999980105E-3</v>
      </c>
      <c r="N18" s="142"/>
      <c r="O18" s="57">
        <f t="shared" si="18"/>
        <v>3.7999999999989598E-2</v>
      </c>
      <c r="Q18" s="57">
        <f t="shared" ref="Q18:R18" si="38">Q27-Q9</f>
        <v>1.4000000000002899E-2</v>
      </c>
      <c r="R18" s="57">
        <f t="shared" si="38"/>
        <v>0</v>
      </c>
      <c r="S18" s="57">
        <f t="shared" ref="S18:T18" si="39">S27-S9</f>
        <v>0</v>
      </c>
      <c r="T18" s="57">
        <f t="shared" si="39"/>
        <v>0</v>
      </c>
      <c r="V18" s="57">
        <f t="shared" si="13"/>
        <v>1.4000000000002899E-2</v>
      </c>
      <c r="X18" s="57">
        <f t="shared" ref="X18:Y18" si="40">X27-X9</f>
        <v>0</v>
      </c>
      <c r="Y18" s="57">
        <f t="shared" si="40"/>
        <v>0</v>
      </c>
      <c r="Z18" s="57">
        <f t="shared" ref="Z18:AA18" si="41">Z27-Z9</f>
        <v>0</v>
      </c>
      <c r="AA18" s="57">
        <f t="shared" si="41"/>
        <v>0</v>
      </c>
      <c r="AC18" s="57">
        <f>+X18+Y18+Z18+AA18</f>
        <v>0</v>
      </c>
    </row>
    <row r="19" spans="1:29" s="46" customFormat="1" ht="16.75">
      <c r="A19" s="44" t="s">
        <v>234</v>
      </c>
      <c r="C19" s="53">
        <f t="shared" si="19"/>
        <v>0</v>
      </c>
      <c r="D19" s="53">
        <f t="shared" ref="D19:E19" si="42">D28-D10</f>
        <v>0</v>
      </c>
      <c r="E19" s="53">
        <f t="shared" si="42"/>
        <v>0</v>
      </c>
      <c r="F19" s="53">
        <f t="shared" ref="F19" si="43">F28-F10</f>
        <v>0</v>
      </c>
      <c r="G19" s="141"/>
      <c r="H19" s="53">
        <f t="shared" si="17"/>
        <v>0</v>
      </c>
      <c r="J19" s="53">
        <f t="shared" si="22"/>
        <v>0</v>
      </c>
      <c r="K19" s="53">
        <f t="shared" ref="K19:L19" si="44">K28-K10</f>
        <v>0</v>
      </c>
      <c r="L19" s="53">
        <f t="shared" si="44"/>
        <v>0</v>
      </c>
      <c r="M19" s="53">
        <f t="shared" ref="M19" si="45">M28-M10</f>
        <v>0</v>
      </c>
      <c r="N19" s="141"/>
      <c r="O19" s="53">
        <f t="shared" si="18"/>
        <v>0</v>
      </c>
      <c r="Q19" s="53">
        <f t="shared" ref="Q19:R19" si="46">Q28-Q10</f>
        <v>0</v>
      </c>
      <c r="R19" s="53">
        <f t="shared" si="46"/>
        <v>0</v>
      </c>
      <c r="S19" s="53">
        <f t="shared" ref="S19:T19" si="47">S28-S10</f>
        <v>0</v>
      </c>
      <c r="T19" s="53">
        <f t="shared" si="47"/>
        <v>0</v>
      </c>
      <c r="V19" s="53">
        <f t="shared" si="13"/>
        <v>0</v>
      </c>
      <c r="X19" s="53">
        <f t="shared" ref="X19:Y19" si="48">X28-X10</f>
        <v>0</v>
      </c>
      <c r="Y19" s="53">
        <f t="shared" si="48"/>
        <v>0</v>
      </c>
      <c r="Z19" s="53">
        <f t="shared" ref="Z19:AA19" si="49">Z28-Z10</f>
        <v>0</v>
      </c>
      <c r="AA19" s="53">
        <f t="shared" si="49"/>
        <v>0</v>
      </c>
      <c r="AC19" s="53">
        <f>+X19+Y19+Z19+AA19</f>
        <v>0</v>
      </c>
    </row>
    <row r="20" spans="1:29" s="51" customFormat="1" ht="16.75">
      <c r="A20" s="48" t="s">
        <v>235</v>
      </c>
      <c r="C20" s="49">
        <f t="shared" si="19"/>
        <v>0</v>
      </c>
      <c r="D20" s="49">
        <f t="shared" ref="D20:E20" si="50">D29-D11</f>
        <v>0</v>
      </c>
      <c r="E20" s="49">
        <f t="shared" si="50"/>
        <v>0</v>
      </c>
      <c r="F20" s="49">
        <f t="shared" ref="F20" si="51">F29-F11</f>
        <v>0</v>
      </c>
      <c r="G20" s="140"/>
      <c r="H20" s="49">
        <f t="shared" si="17"/>
        <v>0</v>
      </c>
      <c r="J20" s="49">
        <f t="shared" si="22"/>
        <v>0</v>
      </c>
      <c r="K20" s="49">
        <f t="shared" ref="K20:L20" si="52">K29-K11</f>
        <v>0</v>
      </c>
      <c r="L20" s="49">
        <f t="shared" si="52"/>
        <v>0</v>
      </c>
      <c r="M20" s="49">
        <f t="shared" ref="M20" si="53">M29-M11</f>
        <v>0</v>
      </c>
      <c r="N20" s="140"/>
      <c r="O20" s="49">
        <f t="shared" si="18"/>
        <v>0</v>
      </c>
      <c r="Q20" s="49">
        <f t="shared" ref="Q20:R20" si="54">Q29-Q11</f>
        <v>0</v>
      </c>
      <c r="R20" s="49">
        <f t="shared" si="54"/>
        <v>0</v>
      </c>
      <c r="S20" s="49">
        <f t="shared" ref="S20:T20" si="55">S29-S11</f>
        <v>0</v>
      </c>
      <c r="T20" s="49">
        <f t="shared" si="55"/>
        <v>0</v>
      </c>
      <c r="V20" s="49">
        <f t="shared" si="13"/>
        <v>0</v>
      </c>
      <c r="X20" s="49">
        <f t="shared" ref="X20:Y20" si="56">X29-X11</f>
        <v>0</v>
      </c>
      <c r="Y20" s="49">
        <f t="shared" si="56"/>
        <v>0</v>
      </c>
      <c r="Z20" s="49">
        <f t="shared" ref="Z20:AA20" si="57">Z29-Z11</f>
        <v>0</v>
      </c>
      <c r="AA20" s="49">
        <f t="shared" si="57"/>
        <v>0</v>
      </c>
      <c r="AC20" s="49">
        <f t="shared" ref="AC20" si="58">+X20+Y20+Z20+AA20</f>
        <v>0</v>
      </c>
    </row>
    <row r="21" spans="1:29" s="51" customFormat="1" ht="16.75">
      <c r="A21" s="58" t="s">
        <v>236</v>
      </c>
      <c r="C21" s="125">
        <f t="shared" si="19"/>
        <v>0</v>
      </c>
      <c r="D21" s="125">
        <f t="shared" ref="D21:E21" si="59">D30-D12</f>
        <v>0</v>
      </c>
      <c r="E21" s="125">
        <f t="shared" si="59"/>
        <v>0</v>
      </c>
      <c r="F21" s="125">
        <f t="shared" ref="F21" si="60">F30-F12</f>
        <v>0</v>
      </c>
      <c r="G21" s="142"/>
      <c r="H21" s="125">
        <f t="shared" si="17"/>
        <v>0</v>
      </c>
      <c r="J21" s="125">
        <f t="shared" si="22"/>
        <v>0</v>
      </c>
      <c r="K21" s="125">
        <f t="shared" ref="K21:L21" si="61">K30-K12</f>
        <v>0</v>
      </c>
      <c r="L21" s="125">
        <f t="shared" si="61"/>
        <v>0</v>
      </c>
      <c r="M21" s="125">
        <f t="shared" ref="M21" si="62">M30-M12</f>
        <v>0</v>
      </c>
      <c r="N21" s="142"/>
      <c r="O21" s="125">
        <f t="shared" si="18"/>
        <v>0</v>
      </c>
      <c r="Q21" s="125">
        <f t="shared" ref="Q21:R21" si="63">Q30-Q12</f>
        <v>0</v>
      </c>
      <c r="R21" s="125">
        <f t="shared" si="63"/>
        <v>0</v>
      </c>
      <c r="S21" s="125">
        <f t="shared" ref="S21:T21" si="64">S30-S12</f>
        <v>0</v>
      </c>
      <c r="T21" s="125">
        <f t="shared" si="64"/>
        <v>0</v>
      </c>
      <c r="V21" s="125">
        <f t="shared" si="13"/>
        <v>0</v>
      </c>
      <c r="X21" s="125">
        <f t="shared" ref="X21:Y21" si="65">X30-X12</f>
        <v>0</v>
      </c>
      <c r="Y21" s="125">
        <f t="shared" si="65"/>
        <v>0</v>
      </c>
      <c r="Z21" s="125">
        <f t="shared" ref="Z21:AA21" si="66">Z30-Z12</f>
        <v>0</v>
      </c>
      <c r="AA21" s="125">
        <f t="shared" si="66"/>
        <v>0</v>
      </c>
      <c r="AC21" s="125">
        <f>+X21+Y21+Z21+AA21</f>
        <v>0</v>
      </c>
    </row>
    <row r="22" spans="1:29" s="46" customFormat="1" ht="16.75">
      <c r="A22" s="44" t="s">
        <v>237</v>
      </c>
      <c r="C22" s="86">
        <f t="shared" si="19"/>
        <v>3.2620000000000005</v>
      </c>
      <c r="D22" s="86">
        <f>D31-D13</f>
        <v>3.0660000000000309</v>
      </c>
      <c r="E22" s="86">
        <f>E31-E13</f>
        <v>2.2270000000000039</v>
      </c>
      <c r="F22" s="86">
        <f>F31-F13</f>
        <v>1.7809999999999491</v>
      </c>
      <c r="G22" s="144"/>
      <c r="H22" s="86">
        <f t="shared" si="17"/>
        <v>10.335999999999984</v>
      </c>
      <c r="J22" s="86">
        <f t="shared" si="22"/>
        <v>1.0390000000000157</v>
      </c>
      <c r="K22" s="86">
        <f>K31-K13</f>
        <v>1.0130000000000052</v>
      </c>
      <c r="L22" s="86">
        <f>L31-L13</f>
        <v>2.1080000000000041</v>
      </c>
      <c r="M22" s="86">
        <f>M31-M13</f>
        <v>2.0109999999999957</v>
      </c>
      <c r="N22" s="144"/>
      <c r="O22" s="86">
        <f t="shared" si="18"/>
        <v>6.1710000000000207</v>
      </c>
      <c r="Q22" s="86">
        <f>Q31-Q13</f>
        <v>1.3430000000000177</v>
      </c>
      <c r="R22" s="86">
        <f>R31-R13</f>
        <v>0.73200000000002774</v>
      </c>
      <c r="S22" s="86">
        <f>S31-S13</f>
        <v>0.4229999999999734</v>
      </c>
      <c r="T22" s="86">
        <f>T31-T13</f>
        <v>0.5040000000000191</v>
      </c>
      <c r="V22" s="86">
        <f t="shared" si="13"/>
        <v>3.002000000000038</v>
      </c>
      <c r="X22" s="86">
        <f>X31-X13</f>
        <v>0.62699999999995271</v>
      </c>
      <c r="Y22" s="86">
        <f>Y31-Y13</f>
        <v>0.24199999999999022</v>
      </c>
      <c r="Z22" s="86">
        <f>Z31-Z13</f>
        <v>0.1199999999999477</v>
      </c>
      <c r="AA22" s="86">
        <f>AA31-AA13</f>
        <v>0.11100000000004684</v>
      </c>
      <c r="AC22" s="86">
        <f>+X22+Y22+Z22+AA22</f>
        <v>1.0999999999999375</v>
      </c>
    </row>
    <row r="23" spans="1:29" s="46" customFormat="1" ht="16.75">
      <c r="A23" s="44"/>
      <c r="C23" s="55"/>
      <c r="D23" s="55"/>
      <c r="E23" s="55"/>
      <c r="F23" s="55"/>
      <c r="G23" s="128"/>
      <c r="H23" s="55"/>
      <c r="J23" s="55"/>
      <c r="K23" s="55"/>
      <c r="L23" s="55"/>
      <c r="M23" s="55"/>
      <c r="N23" s="128"/>
      <c r="O23" s="55"/>
      <c r="Q23" s="55"/>
      <c r="R23" s="55"/>
      <c r="S23" s="55"/>
      <c r="T23" s="55"/>
      <c r="V23" s="55"/>
      <c r="X23" s="55"/>
      <c r="Y23" s="55"/>
      <c r="Z23" s="55"/>
      <c r="AA23" s="55"/>
      <c r="AC23" s="55"/>
    </row>
    <row r="24" spans="1:29" s="46" customFormat="1" ht="16.75">
      <c r="A24" s="44" t="s">
        <v>238</v>
      </c>
      <c r="B24" s="47"/>
      <c r="C24" s="45">
        <f t="shared" ref="C24:F24" si="67">+C27+C25+C26</f>
        <v>132.33200000000002</v>
      </c>
      <c r="D24" s="45">
        <f t="shared" si="67"/>
        <v>142.333</v>
      </c>
      <c r="E24" s="45">
        <f t="shared" si="67"/>
        <v>152.46</v>
      </c>
      <c r="F24" s="45">
        <f t="shared" si="67"/>
        <v>158.83499999999998</v>
      </c>
      <c r="G24" s="136"/>
      <c r="H24" s="45">
        <f>+H27+H25+H26</f>
        <v>585.95999999999992</v>
      </c>
      <c r="J24" s="45">
        <f t="shared" ref="J24:L24" si="68">+J27+J25+J26</f>
        <v>145.49200000000002</v>
      </c>
      <c r="K24" s="45">
        <f t="shared" si="68"/>
        <v>157.191</v>
      </c>
      <c r="L24" s="45">
        <f t="shared" si="68"/>
        <v>160.91899999999998</v>
      </c>
      <c r="M24" s="45">
        <f>+M27+M25+M26</f>
        <v>175.69800000000001</v>
      </c>
      <c r="N24" s="136"/>
      <c r="O24" s="45">
        <f>+O27+O25+O26</f>
        <v>639.29999999999995</v>
      </c>
      <c r="Q24" s="45">
        <f t="shared" ref="Q24:T24" si="69">+Q27+Q25+Q26</f>
        <v>160.71</v>
      </c>
      <c r="R24" s="45">
        <f t="shared" si="69"/>
        <v>167.17200000000003</v>
      </c>
      <c r="S24" s="45">
        <f t="shared" si="69"/>
        <v>174.64499999999998</v>
      </c>
      <c r="T24" s="45">
        <f t="shared" si="69"/>
        <v>186.012</v>
      </c>
      <c r="V24" s="45">
        <f>+V27+V25+V26</f>
        <v>688.53899999999999</v>
      </c>
      <c r="X24" s="45">
        <f>+X27+X25+X26</f>
        <v>167.06599999999997</v>
      </c>
      <c r="Y24" s="45">
        <f>+Y27+Y25+Y26</f>
        <v>161.24099999999999</v>
      </c>
      <c r="Z24" s="45">
        <f>+Z27+Z25+Z26</f>
        <v>161.23699999999999</v>
      </c>
      <c r="AA24" s="45">
        <f>+AA27+AA25+AA26</f>
        <v>210.80400000000003</v>
      </c>
      <c r="AC24" s="45">
        <f t="shared" ref="AC24:AC31" si="70">+X24+Y24+Z24+AA24</f>
        <v>700.34799999999996</v>
      </c>
    </row>
    <row r="25" spans="1:29" s="46" customFormat="1" ht="16.75">
      <c r="A25" s="48" t="s">
        <v>239</v>
      </c>
      <c r="B25" s="51"/>
      <c r="C25" s="49">
        <f>'SaaS Revenue Reconciliation'!B16</f>
        <v>43.814</v>
      </c>
      <c r="D25" s="49">
        <f>'SaaS Revenue Reconciliation'!C16</f>
        <v>50.978999999999999</v>
      </c>
      <c r="E25" s="49">
        <f>'SaaS Revenue Reconciliation'!D16</f>
        <v>60.926999999999992</v>
      </c>
      <c r="F25" s="49">
        <f>'SaaS Revenue Reconciliation'!E16</f>
        <v>71.396999999999991</v>
      </c>
      <c r="G25" s="140"/>
      <c r="H25" s="49">
        <f t="shared" ref="H25:H31" si="71">+C25+D25+E25+F25</f>
        <v>227.11699999999999</v>
      </c>
      <c r="J25" s="49">
        <f>'SaaS Revenue Reconciliation'!I16</f>
        <v>64.436000000000007</v>
      </c>
      <c r="K25" s="49">
        <f>'SaaS Revenue Reconciliation'!J16</f>
        <v>77.256</v>
      </c>
      <c r="L25" s="49">
        <f>'SaaS Revenue Reconciliation'!K16</f>
        <v>84.087999999999994</v>
      </c>
      <c r="M25" s="49">
        <f>'SaaS Revenue Reconciliation'!L16</f>
        <v>102.605</v>
      </c>
      <c r="N25" s="140"/>
      <c r="O25" s="49">
        <f t="shared" ref="O25:O31" si="72">+J25+K25+L25+M25</f>
        <v>328.38499999999999</v>
      </c>
      <c r="Q25" s="49">
        <f>'SaaS Revenue Reconciliation'!P16</f>
        <v>95.998999999999995</v>
      </c>
      <c r="R25" s="49">
        <f>'SaaS Revenue Reconciliation'!Q16</f>
        <v>103.23400000000001</v>
      </c>
      <c r="S25" s="49">
        <f>'SaaS Revenue Reconciliation'!R16</f>
        <v>116.161</v>
      </c>
      <c r="T25" s="49">
        <f>'SaaS Revenue Reconciliation'!S16</f>
        <v>131.624</v>
      </c>
      <c r="V25" s="49">
        <f t="shared" si="13"/>
        <v>447.01800000000003</v>
      </c>
      <c r="X25" s="49">
        <f>'SaaS Revenue Reconciliation'!W16</f>
        <v>117.75999999999999</v>
      </c>
      <c r="Y25" s="49">
        <f>'SaaS Revenue Reconciliation'!X16</f>
        <v>113.672</v>
      </c>
      <c r="Z25" s="49">
        <f>'SaaS Revenue Reconciliation'!Y16</f>
        <v>115.768</v>
      </c>
      <c r="AA25" s="49">
        <f>'SaaS Revenue Reconciliation'!Z16</f>
        <v>168.697</v>
      </c>
      <c r="AC25" s="49">
        <f t="shared" si="70"/>
        <v>515.89699999999993</v>
      </c>
    </row>
    <row r="26" spans="1:29" s="46" customFormat="1" ht="16.75">
      <c r="A26" s="48" t="s">
        <v>240</v>
      </c>
      <c r="B26" s="51"/>
      <c r="C26" s="49">
        <v>14.413</v>
      </c>
      <c r="D26" s="49">
        <v>14.596</v>
      </c>
      <c r="E26" s="49">
        <v>15.106999999999999</v>
      </c>
      <c r="F26" s="49">
        <v>16.341000000000001</v>
      </c>
      <c r="G26" s="140"/>
      <c r="H26" s="49">
        <f t="shared" ref="H26" si="73">+C26+D26+E26+F26</f>
        <v>60.457000000000001</v>
      </c>
      <c r="J26" s="49">
        <v>16.645</v>
      </c>
      <c r="K26" s="49">
        <v>17.004000000000001</v>
      </c>
      <c r="L26" s="49">
        <v>16.47</v>
      </c>
      <c r="M26" s="49">
        <v>16.041</v>
      </c>
      <c r="N26" s="140"/>
      <c r="O26" s="49">
        <f t="shared" ref="O26" si="74">+J26+K26+L26+M26</f>
        <v>66.16</v>
      </c>
      <c r="Q26" s="49">
        <v>15.973000000000001</v>
      </c>
      <c r="R26" s="49">
        <v>15.83</v>
      </c>
      <c r="S26" s="49">
        <v>15.484999999999999</v>
      </c>
      <c r="T26" s="49">
        <v>14.275</v>
      </c>
      <c r="V26" s="49">
        <f t="shared" ref="V26" si="75">Q26+R26+S26+T26</f>
        <v>61.562999999999995</v>
      </c>
      <c r="X26" s="49">
        <v>12.88</v>
      </c>
      <c r="Y26" s="49">
        <v>12.176</v>
      </c>
      <c r="Z26" s="49">
        <v>11.845000000000001</v>
      </c>
      <c r="AA26" s="49">
        <v>10.848000000000001</v>
      </c>
      <c r="AC26" s="49">
        <f t="shared" si="70"/>
        <v>47.749000000000002</v>
      </c>
    </row>
    <row r="27" spans="1:29" s="46" customFormat="1" ht="16.75">
      <c r="A27" s="48" t="s">
        <v>241</v>
      </c>
      <c r="B27" s="51"/>
      <c r="C27" s="52">
        <f>76.128-2.023</f>
        <v>74.105000000000004</v>
      </c>
      <c r="D27" s="52">
        <v>76.757999999999996</v>
      </c>
      <c r="E27" s="52">
        <v>76.426000000000002</v>
      </c>
      <c r="F27" s="52">
        <v>71.096999999999994</v>
      </c>
      <c r="G27" s="137"/>
      <c r="H27" s="52">
        <f t="shared" si="71"/>
        <v>298.38599999999997</v>
      </c>
      <c r="J27" s="52">
        <v>64.411000000000001</v>
      </c>
      <c r="K27" s="52">
        <v>62.930999999999997</v>
      </c>
      <c r="L27" s="52">
        <v>60.360999999999997</v>
      </c>
      <c r="M27" s="52">
        <v>57.052</v>
      </c>
      <c r="N27" s="137"/>
      <c r="O27" s="52">
        <f t="shared" si="72"/>
        <v>244.755</v>
      </c>
      <c r="Q27" s="52">
        <v>48.738</v>
      </c>
      <c r="R27" s="52">
        <v>48.107999999999997</v>
      </c>
      <c r="S27" s="52">
        <v>42.999000000000002</v>
      </c>
      <c r="T27" s="52">
        <v>40.113</v>
      </c>
      <c r="V27" s="52">
        <f t="shared" si="13"/>
        <v>179.958</v>
      </c>
      <c r="X27" s="52">
        <v>36.426000000000002</v>
      </c>
      <c r="Y27" s="52">
        <v>35.393000000000001</v>
      </c>
      <c r="Z27" s="52">
        <v>33.624000000000002</v>
      </c>
      <c r="AA27" s="52">
        <v>31.259</v>
      </c>
      <c r="AC27" s="52">
        <f t="shared" si="70"/>
        <v>136.702</v>
      </c>
    </row>
    <row r="28" spans="1:29" s="46" customFormat="1" ht="16.75">
      <c r="A28" s="44" t="s">
        <v>242</v>
      </c>
      <c r="C28" s="56">
        <f>C29+C30</f>
        <v>56.795000000000002</v>
      </c>
      <c r="D28" s="56">
        <f>D29+D30</f>
        <v>64.813000000000002</v>
      </c>
      <c r="E28" s="56">
        <f>E29+E30</f>
        <v>64.989000000000004</v>
      </c>
      <c r="F28" s="56">
        <f>F29+F30</f>
        <v>68.025999999999996</v>
      </c>
      <c r="G28" s="143"/>
      <c r="H28" s="56">
        <f t="shared" si="71"/>
        <v>254.62299999999999</v>
      </c>
      <c r="J28" s="56">
        <f>J29+J30</f>
        <v>56.451000000000001</v>
      </c>
      <c r="K28" s="56">
        <f>K29+K30</f>
        <v>58.438999999999993</v>
      </c>
      <c r="L28" s="56">
        <f>L29+L30</f>
        <v>66.009</v>
      </c>
      <c r="M28" s="56">
        <f>M29+M30</f>
        <v>60.480999999999995</v>
      </c>
      <c r="N28" s="143"/>
      <c r="O28" s="56">
        <f t="shared" si="72"/>
        <v>241.38</v>
      </c>
      <c r="Q28" s="56">
        <f>Q29+Q30</f>
        <v>58.539000000000001</v>
      </c>
      <c r="R28" s="56">
        <f>R29+R30</f>
        <v>56.459000000000003</v>
      </c>
      <c r="S28" s="56">
        <f>S29+S30</f>
        <v>50.971000000000004</v>
      </c>
      <c r="T28" s="56">
        <f>T29+T30</f>
        <v>50.739000000000004</v>
      </c>
      <c r="V28" s="56">
        <f t="shared" si="13"/>
        <v>216.708</v>
      </c>
      <c r="X28" s="56">
        <f>X29+X30</f>
        <v>50.126999999999995</v>
      </c>
      <c r="Y28" s="56">
        <f>Y29+Y30</f>
        <v>49.165999999999997</v>
      </c>
      <c r="Z28" s="56">
        <f>Z29+Z30</f>
        <v>57.429999999999993</v>
      </c>
      <c r="AA28" s="56">
        <f>AA29+AA30</f>
        <v>54.415999999999997</v>
      </c>
      <c r="AC28" s="56">
        <f t="shared" si="70"/>
        <v>211.13899999999998</v>
      </c>
    </row>
    <row r="29" spans="1:29" s="46" customFormat="1" ht="16.75">
      <c r="A29" s="58" t="s">
        <v>243</v>
      </c>
      <c r="C29" s="49">
        <v>28.524999999999999</v>
      </c>
      <c r="D29" s="49">
        <v>35.829000000000001</v>
      </c>
      <c r="E29" s="49">
        <v>35.460999999999999</v>
      </c>
      <c r="F29" s="49">
        <v>42.024999999999999</v>
      </c>
      <c r="G29" s="140"/>
      <c r="H29" s="49">
        <f t="shared" si="71"/>
        <v>141.84</v>
      </c>
      <c r="J29" s="49">
        <v>29.323</v>
      </c>
      <c r="K29" s="49">
        <v>32.348999999999997</v>
      </c>
      <c r="L29" s="49">
        <v>40.436</v>
      </c>
      <c r="M29" s="49">
        <v>35.97</v>
      </c>
      <c r="N29" s="140"/>
      <c r="O29" s="49">
        <f t="shared" si="72"/>
        <v>138.078</v>
      </c>
      <c r="Q29" s="49">
        <v>33.258000000000003</v>
      </c>
      <c r="R29" s="49">
        <v>30.79</v>
      </c>
      <c r="S29" s="49">
        <v>24.425000000000001</v>
      </c>
      <c r="T29" s="49">
        <v>28.138000000000002</v>
      </c>
      <c r="V29" s="49">
        <f t="shared" si="13"/>
        <v>116.611</v>
      </c>
      <c r="X29" s="49">
        <v>24.334</v>
      </c>
      <c r="Y29" s="49">
        <v>25.212</v>
      </c>
      <c r="Z29" s="49">
        <v>24.556999999999999</v>
      </c>
      <c r="AA29" s="49">
        <v>25.75</v>
      </c>
      <c r="AC29" s="49">
        <f t="shared" si="70"/>
        <v>99.852999999999994</v>
      </c>
    </row>
    <row r="30" spans="1:29" s="46" customFormat="1" ht="16.75">
      <c r="A30" s="58" t="s">
        <v>244</v>
      </c>
      <c r="C30" s="125">
        <v>28.27</v>
      </c>
      <c r="D30" s="125">
        <v>28.984000000000002</v>
      </c>
      <c r="E30" s="125">
        <v>29.527999999999999</v>
      </c>
      <c r="F30" s="125">
        <v>26.001000000000001</v>
      </c>
      <c r="G30" s="142"/>
      <c r="H30" s="125">
        <f t="shared" si="71"/>
        <v>112.78300000000002</v>
      </c>
      <c r="J30" s="125">
        <v>27.128</v>
      </c>
      <c r="K30" s="125">
        <v>26.09</v>
      </c>
      <c r="L30" s="125">
        <v>25.573</v>
      </c>
      <c r="M30" s="125">
        <v>24.510999999999999</v>
      </c>
      <c r="N30" s="142"/>
      <c r="O30" s="125">
        <f t="shared" si="72"/>
        <v>103.30199999999999</v>
      </c>
      <c r="Q30" s="125">
        <v>25.280999999999999</v>
      </c>
      <c r="R30" s="125">
        <v>25.669</v>
      </c>
      <c r="S30" s="125">
        <v>26.545999999999999</v>
      </c>
      <c r="T30" s="125">
        <v>22.600999999999999</v>
      </c>
      <c r="V30" s="125">
        <f t="shared" si="13"/>
        <v>100.09700000000001</v>
      </c>
      <c r="X30" s="125">
        <v>25.792999999999999</v>
      </c>
      <c r="Y30" s="125">
        <v>23.954000000000001</v>
      </c>
      <c r="Z30" s="125">
        <v>32.872999999999998</v>
      </c>
      <c r="AA30" s="125">
        <v>28.666</v>
      </c>
      <c r="AC30" s="125">
        <f t="shared" si="70"/>
        <v>111.286</v>
      </c>
    </row>
    <row r="31" spans="1:29" s="46" customFormat="1" ht="16.75">
      <c r="A31" s="59" t="s">
        <v>245</v>
      </c>
      <c r="C31" s="127">
        <f>+C24+C28</f>
        <v>189.12700000000001</v>
      </c>
      <c r="D31" s="127">
        <f>+D24+D28</f>
        <v>207.14600000000002</v>
      </c>
      <c r="E31" s="127">
        <f>+E24+E28</f>
        <v>217.44900000000001</v>
      </c>
      <c r="F31" s="127">
        <f>+F24+F28</f>
        <v>226.86099999999999</v>
      </c>
      <c r="G31" s="136"/>
      <c r="H31" s="127">
        <f t="shared" si="71"/>
        <v>840.58299999999997</v>
      </c>
      <c r="J31" s="127">
        <f>+J24+J28</f>
        <v>201.94300000000001</v>
      </c>
      <c r="K31" s="127">
        <f>+K24+K28</f>
        <v>215.63</v>
      </c>
      <c r="L31" s="127">
        <f>+L24+L28</f>
        <v>226.928</v>
      </c>
      <c r="M31" s="127">
        <f>+M24+M28</f>
        <v>236.179</v>
      </c>
      <c r="N31" s="136"/>
      <c r="O31" s="127">
        <f t="shared" si="72"/>
        <v>880.68</v>
      </c>
      <c r="Q31" s="127">
        <f>+Q24+Q28</f>
        <v>219.24900000000002</v>
      </c>
      <c r="R31" s="127">
        <f>+R24+R28</f>
        <v>223.63100000000003</v>
      </c>
      <c r="S31" s="127">
        <f>+S24+S28</f>
        <v>225.61599999999999</v>
      </c>
      <c r="T31" s="127">
        <f>+T24+T28</f>
        <v>236.751</v>
      </c>
      <c r="V31" s="127">
        <f t="shared" si="13"/>
        <v>905.24700000000007</v>
      </c>
      <c r="X31" s="127">
        <f>+X24+X28</f>
        <v>217.19299999999998</v>
      </c>
      <c r="Y31" s="127">
        <f>+Y24+Y28</f>
        <v>210.40699999999998</v>
      </c>
      <c r="Z31" s="127">
        <f>+Z24+Z28</f>
        <v>218.66699999999997</v>
      </c>
      <c r="AA31" s="127">
        <f>+AA24+AA28</f>
        <v>265.22000000000003</v>
      </c>
      <c r="AC31" s="127">
        <f t="shared" si="70"/>
        <v>911.48699999999997</v>
      </c>
    </row>
    <row r="32" spans="1:29" s="51" customFormat="1" ht="16.75">
      <c r="C32" s="126"/>
      <c r="D32" s="126"/>
      <c r="E32" s="126"/>
      <c r="F32" s="126"/>
      <c r="G32" s="137"/>
      <c r="H32" s="126"/>
    </row>
    <row r="33" spans="1:8" ht="16.75">
      <c r="A33" s="35"/>
      <c r="C33" s="37"/>
      <c r="D33" s="37"/>
      <c r="E33" s="37"/>
      <c r="F33" s="37"/>
      <c r="H33" s="37"/>
    </row>
    <row r="34" spans="1:8">
      <c r="A34" s="37"/>
      <c r="C34" s="37"/>
      <c r="D34" s="37"/>
      <c r="E34" s="37"/>
      <c r="F34" s="37"/>
      <c r="H34" s="37"/>
    </row>
    <row r="35" spans="1:8">
      <c r="A35" s="37"/>
      <c r="C35" s="37"/>
      <c r="D35" s="37"/>
      <c r="E35" s="37"/>
      <c r="F35" s="37"/>
      <c r="H35" s="37"/>
    </row>
    <row r="36" spans="1:8">
      <c r="A36" s="37"/>
      <c r="C36" s="37"/>
      <c r="D36" s="37"/>
      <c r="E36" s="37"/>
      <c r="F36" s="37"/>
      <c r="H36" s="37"/>
    </row>
    <row r="37" spans="1:8">
      <c r="A37" s="37"/>
      <c r="C37" s="37"/>
      <c r="D37" s="37"/>
      <c r="E37" s="37"/>
      <c r="F37" s="37"/>
      <c r="H37" s="37"/>
    </row>
    <row r="38" spans="1:8">
      <c r="A38" s="37"/>
      <c r="C38" s="37"/>
      <c r="D38" s="37"/>
      <c r="E38" s="37"/>
      <c r="F38" s="37"/>
      <c r="H38" s="37"/>
    </row>
    <row r="39" spans="1:8">
      <c r="A39" s="37"/>
      <c r="C39" s="37"/>
      <c r="D39" s="37"/>
      <c r="E39" s="37"/>
      <c r="F39" s="37"/>
      <c r="H39" s="37"/>
    </row>
    <row r="40" spans="1:8">
      <c r="A40" s="37"/>
      <c r="C40" s="37"/>
      <c r="D40" s="37"/>
      <c r="E40" s="37"/>
      <c r="F40" s="37"/>
      <c r="H40" s="37"/>
    </row>
    <row r="41" spans="1:8">
      <c r="A41" s="37"/>
      <c r="C41" s="37"/>
      <c r="D41" s="37"/>
      <c r="E41" s="37"/>
      <c r="F41" s="37"/>
      <c r="H41" s="37"/>
    </row>
    <row r="42" spans="1:8">
      <c r="A42" s="37"/>
      <c r="C42" s="37"/>
      <c r="D42" s="37"/>
      <c r="E42" s="37"/>
      <c r="F42" s="37"/>
      <c r="H42" s="37"/>
    </row>
    <row r="43" spans="1:8">
      <c r="A43" s="37"/>
      <c r="C43" s="37"/>
      <c r="D43" s="37"/>
      <c r="E43" s="37"/>
      <c r="F43" s="37"/>
      <c r="H43" s="37"/>
    </row>
    <row r="44" spans="1:8">
      <c r="A44" s="37"/>
      <c r="C44" s="37"/>
      <c r="D44" s="37"/>
      <c r="E44" s="37"/>
      <c r="F44" s="37"/>
      <c r="H44" s="37"/>
    </row>
    <row r="45" spans="1:8">
      <c r="A45" s="37"/>
      <c r="C45" s="37"/>
      <c r="D45" s="37"/>
      <c r="E45" s="37"/>
      <c r="F45" s="37"/>
      <c r="H45" s="37"/>
    </row>
    <row r="46" spans="1:8">
      <c r="A46" s="37"/>
      <c r="C46" s="37"/>
      <c r="D46" s="37"/>
      <c r="E46" s="37"/>
      <c r="F46" s="37"/>
      <c r="H46" s="37"/>
    </row>
    <row r="47" spans="1:8">
      <c r="A47" s="37"/>
      <c r="C47" s="37"/>
      <c r="D47" s="37"/>
      <c r="E47" s="37"/>
      <c r="F47" s="37"/>
      <c r="H47" s="37"/>
    </row>
    <row r="48" spans="1:8">
      <c r="A48" s="37"/>
      <c r="C48" s="37"/>
      <c r="D48" s="37"/>
      <c r="E48" s="37"/>
      <c r="F48" s="37"/>
      <c r="H48" s="37"/>
    </row>
    <row r="49" s="37" customFormat="1"/>
    <row r="50" s="37" customFormat="1"/>
    <row r="51" s="37" customFormat="1"/>
    <row r="52" s="37" customFormat="1"/>
    <row r="53" s="37" customFormat="1"/>
    <row r="54" s="37" customFormat="1"/>
    <row r="55" s="37" customFormat="1"/>
    <row r="56" s="37" customFormat="1"/>
    <row r="57" s="37" customFormat="1"/>
    <row r="58" s="37" customFormat="1"/>
    <row r="59" s="37" customFormat="1"/>
    <row r="60" s="37" customFormat="1"/>
    <row r="61" s="37" customFormat="1"/>
    <row r="62" s="37" customFormat="1"/>
    <row r="63" s="37" customFormat="1"/>
    <row r="64" s="37" customFormat="1"/>
    <row r="65" s="37" customFormat="1"/>
    <row r="66" s="37" customFormat="1"/>
    <row r="67" s="37" customFormat="1"/>
    <row r="68" s="37" customFormat="1"/>
    <row r="69" s="37" customFormat="1"/>
    <row r="70" s="37" customFormat="1"/>
    <row r="71" s="37" customFormat="1"/>
    <row r="72" s="37" customFormat="1"/>
    <row r="73" s="37" customFormat="1"/>
    <row r="74" s="37" customFormat="1"/>
    <row r="75" s="37" customFormat="1"/>
    <row r="76" s="37" customFormat="1"/>
    <row r="77" s="37" customFormat="1"/>
    <row r="78" s="37" customFormat="1"/>
    <row r="79" s="37" customFormat="1"/>
    <row r="80" s="37" customFormat="1"/>
    <row r="81" s="37" customFormat="1"/>
    <row r="82" s="37" customFormat="1"/>
    <row r="83" s="37" customFormat="1"/>
    <row r="84" s="37" customFormat="1"/>
    <row r="85" s="37" customFormat="1"/>
    <row r="86" s="37" customFormat="1"/>
    <row r="87" s="37" customFormat="1"/>
    <row r="88" s="37" customFormat="1"/>
    <row r="89" s="37" customFormat="1"/>
    <row r="90" s="37" customFormat="1"/>
    <row r="91" s="37" customFormat="1"/>
    <row r="92" s="37" customFormat="1"/>
    <row r="93" s="37" customFormat="1"/>
    <row r="94" s="37" customFormat="1"/>
    <row r="95" s="37" customFormat="1"/>
    <row r="9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sheetData>
  <mergeCells count="4">
    <mergeCell ref="C3:F3"/>
    <mergeCell ref="J3:M3"/>
    <mergeCell ref="Q3:T3"/>
    <mergeCell ref="X3:AA3"/>
  </mergeCells>
  <pageMargins left="0.25" right="0.25" top="0.75" bottom="0.75" header="0.3" footer="0.3"/>
  <pageSetup scale="8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48980-8820-40D8-895C-D4B8EBF24240}">
  <sheetPr codeName="Sheet17">
    <tabColor rgb="FFFFFFFF"/>
    <pageSetUpPr fitToPage="1"/>
  </sheetPr>
  <dimension ref="A1:AH111"/>
  <sheetViews>
    <sheetView zoomScale="65" zoomScaleNormal="65" zoomScaleSheetLayoutView="85" workbookViewId="0">
      <pane xSplit="5" ySplit="4" topLeftCell="F5" activePane="bottomRight" state="frozen"/>
      <selection pane="topRight" activeCell="F1" sqref="F1"/>
      <selection pane="bottomLeft" activeCell="A5" sqref="A5"/>
      <selection pane="bottomRight" activeCell="F5" sqref="F5"/>
    </sheetView>
  </sheetViews>
  <sheetFormatPr defaultColWidth="9.1328125" defaultRowHeight="10.5" outlineLevelCol="1"/>
  <cols>
    <col min="1" max="1" width="70" style="60" bestFit="1" customWidth="1"/>
    <col min="2" max="5" width="28" style="37" hidden="1" customWidth="1" outlineLevel="1"/>
    <col min="6" max="6" width="1.40625" style="37" customWidth="1" collapsed="1"/>
    <col min="7" max="7" width="28" style="37" customWidth="1"/>
    <col min="8" max="8" width="1.40625" style="37" customWidth="1"/>
    <col min="9" max="12" width="28" style="37" hidden="1" customWidth="1" outlineLevel="1"/>
    <col min="13" max="13" width="1.40625" style="37" hidden="1" customWidth="1" outlineLevel="1"/>
    <col min="14" max="14" width="28" style="37" customWidth="1" collapsed="1"/>
    <col min="15" max="15" width="1.86328125" style="37" customWidth="1"/>
    <col min="16" max="19" width="21.40625" style="37" hidden="1" customWidth="1" outlineLevel="1"/>
    <col min="20" max="20" width="1.86328125" style="37" hidden="1" customWidth="1" outlineLevel="1"/>
    <col min="21" max="21" width="20.40625" style="37" customWidth="1" collapsed="1"/>
    <col min="22" max="22" width="3.1328125" style="37" customWidth="1"/>
    <col min="23" max="25" width="17.26953125" style="37" customWidth="1"/>
    <col min="26" max="26" width="15.40625" style="37" customWidth="1"/>
    <col min="27" max="27" width="2.86328125" style="37" customWidth="1"/>
    <col min="28" max="28" width="20.40625" style="37" customWidth="1"/>
    <col min="29" max="29" width="3.1328125" style="37" customWidth="1"/>
    <col min="30" max="32" width="15.40625" style="37" customWidth="1"/>
    <col min="33" max="33" width="9.1328125" style="37"/>
    <col min="34" max="34" width="20.40625" style="37" customWidth="1"/>
    <col min="35" max="16384" width="9.1328125" style="37"/>
  </cols>
  <sheetData>
    <row r="1" spans="1:34" s="7" customFormat="1" ht="18">
      <c r="A1" s="5" t="s">
        <v>15</v>
      </c>
    </row>
    <row r="2" spans="1:34">
      <c r="A2" s="38"/>
    </row>
    <row r="3" spans="1:34" s="7" customFormat="1" ht="14.25" customHeight="1">
      <c r="A3" s="39"/>
      <c r="B3" s="355" t="s">
        <v>21</v>
      </c>
      <c r="C3" s="355"/>
      <c r="D3" s="355"/>
      <c r="E3" s="355"/>
      <c r="F3" s="138"/>
      <c r="G3" s="40" t="s">
        <v>22</v>
      </c>
      <c r="H3" s="138"/>
      <c r="I3" s="355" t="s">
        <v>21</v>
      </c>
      <c r="J3" s="355"/>
      <c r="K3" s="355"/>
      <c r="L3" s="355"/>
      <c r="M3" s="138"/>
      <c r="N3" s="40" t="s">
        <v>22</v>
      </c>
      <c r="P3" s="355" t="s">
        <v>21</v>
      </c>
      <c r="Q3" s="355"/>
      <c r="R3" s="355"/>
      <c r="S3" s="355"/>
      <c r="U3" s="40" t="s">
        <v>22</v>
      </c>
      <c r="W3" s="355" t="s">
        <v>21</v>
      </c>
      <c r="X3" s="355"/>
      <c r="Y3" s="355"/>
      <c r="Z3" s="355"/>
      <c r="AB3" s="40" t="s">
        <v>22</v>
      </c>
      <c r="AD3" s="355" t="s">
        <v>21</v>
      </c>
      <c r="AE3" s="355"/>
      <c r="AF3" s="355"/>
      <c r="AH3" s="40" t="s">
        <v>320</v>
      </c>
    </row>
    <row r="4" spans="1:34" s="7" customFormat="1" ht="30" customHeight="1">
      <c r="A4" s="41" t="s">
        <v>24</v>
      </c>
      <c r="B4" s="42" t="s">
        <v>80</v>
      </c>
      <c r="C4" s="42" t="s">
        <v>81</v>
      </c>
      <c r="D4" s="42" t="s">
        <v>82</v>
      </c>
      <c r="E4" s="42" t="s">
        <v>83</v>
      </c>
      <c r="F4" s="139"/>
      <c r="G4" s="42" t="s">
        <v>83</v>
      </c>
      <c r="H4" s="139"/>
      <c r="I4" s="42" t="s">
        <v>84</v>
      </c>
      <c r="J4" s="42" t="s">
        <v>85</v>
      </c>
      <c r="K4" s="42" t="s">
        <v>86</v>
      </c>
      <c r="L4" s="42" t="s">
        <v>87</v>
      </c>
      <c r="M4" s="139"/>
      <c r="N4" s="42" t="s">
        <v>87</v>
      </c>
      <c r="P4" s="42" t="s">
        <v>88</v>
      </c>
      <c r="Q4" s="42" t="s">
        <v>89</v>
      </c>
      <c r="R4" s="42" t="s">
        <v>90</v>
      </c>
      <c r="S4" s="42" t="s">
        <v>91</v>
      </c>
      <c r="U4" s="42" t="s">
        <v>91</v>
      </c>
      <c r="W4" s="42" t="s">
        <v>23</v>
      </c>
      <c r="X4" s="42" t="s">
        <v>92</v>
      </c>
      <c r="Y4" s="42" t="s">
        <v>93</v>
      </c>
      <c r="Z4" s="42" t="s">
        <v>94</v>
      </c>
      <c r="AB4" s="42" t="s">
        <v>94</v>
      </c>
      <c r="AD4" s="42" t="s">
        <v>95</v>
      </c>
      <c r="AE4" s="42" t="s">
        <v>309</v>
      </c>
      <c r="AF4" s="42" t="s">
        <v>319</v>
      </c>
      <c r="AH4" s="42" t="s">
        <v>319</v>
      </c>
    </row>
    <row r="5" spans="1:34" s="51" customFormat="1" ht="16.75">
      <c r="A5" s="70"/>
    </row>
    <row r="6" spans="1:34" s="47" customFormat="1" ht="16.75">
      <c r="A6" s="249" t="s">
        <v>246</v>
      </c>
      <c r="B6" s="250">
        <v>33.393000000000001</v>
      </c>
      <c r="C6" s="250">
        <v>35.817999999999998</v>
      </c>
      <c r="D6" s="250">
        <v>37.405999999999999</v>
      </c>
      <c r="E6" s="250">
        <v>39.344999999999999</v>
      </c>
      <c r="F6" s="251"/>
      <c r="G6" s="250">
        <f>+B6+C6+D6+E6</f>
        <v>145.96199999999999</v>
      </c>
      <c r="H6" s="251"/>
      <c r="I6" s="250">
        <v>39.308999999999997</v>
      </c>
      <c r="J6" s="250">
        <v>42.94</v>
      </c>
      <c r="K6" s="250">
        <v>48.39</v>
      </c>
      <c r="L6" s="250">
        <v>52.396000000000001</v>
      </c>
      <c r="M6" s="251"/>
      <c r="N6" s="250">
        <f>+I6+J6+K6+L6</f>
        <v>183.03500000000003</v>
      </c>
      <c r="P6" s="250">
        <v>49.284999999999997</v>
      </c>
      <c r="Q6" s="250">
        <v>54.679000000000002</v>
      </c>
      <c r="R6" s="250">
        <v>57.040999999999997</v>
      </c>
      <c r="S6" s="250">
        <v>61.555</v>
      </c>
      <c r="T6" s="251"/>
      <c r="U6" s="250">
        <f>SUM(P6:S6)</f>
        <v>222.56</v>
      </c>
      <c r="W6" s="250">
        <v>59.453000000000003</v>
      </c>
      <c r="X6" s="250">
        <v>62.066000000000003</v>
      </c>
      <c r="Y6" s="250">
        <v>63.250999999999998</v>
      </c>
      <c r="Z6" s="250">
        <v>65.756</v>
      </c>
      <c r="AB6" s="250">
        <f>W6+X6+Y6+Z6</f>
        <v>250.52600000000001</v>
      </c>
      <c r="AD6" s="250">
        <v>65.694999999999993</v>
      </c>
      <c r="AE6" s="250">
        <v>71.593000000000004</v>
      </c>
      <c r="AF6" s="250">
        <v>75.22</v>
      </c>
      <c r="AH6" s="250">
        <f>SUM(AD6:AF6)</f>
        <v>212.50800000000001</v>
      </c>
    </row>
    <row r="7" spans="1:34" s="46" customFormat="1" ht="16.75">
      <c r="A7" s="48" t="s">
        <v>247</v>
      </c>
      <c r="B7" s="125">
        <f>7.495</f>
        <v>7.4950000000000001</v>
      </c>
      <c r="C7" s="125">
        <v>12.411</v>
      </c>
      <c r="D7" s="125">
        <v>21.577000000000002</v>
      </c>
      <c r="E7" s="125">
        <v>30.507000000000001</v>
      </c>
      <c r="F7" s="140"/>
      <c r="G7" s="125">
        <f>+B7+C7+D7+E7</f>
        <v>71.990000000000009</v>
      </c>
      <c r="H7" s="140"/>
      <c r="I7" s="125">
        <v>24.283000000000001</v>
      </c>
      <c r="J7" s="125">
        <v>33.444000000000003</v>
      </c>
      <c r="K7" s="125">
        <v>33.713000000000001</v>
      </c>
      <c r="L7" s="125">
        <v>48.289000000000001</v>
      </c>
      <c r="M7" s="140"/>
      <c r="N7" s="125">
        <f>+I7+J7+K7+L7</f>
        <v>139.72899999999998</v>
      </c>
      <c r="P7" s="125">
        <v>45.445</v>
      </c>
      <c r="Q7" s="125">
        <v>47.875</v>
      </c>
      <c r="R7" s="125">
        <v>58.746000000000002</v>
      </c>
      <c r="S7" s="125">
        <v>69.578999999999994</v>
      </c>
      <c r="T7" s="140"/>
      <c r="U7" s="125">
        <f>SUM(P7:S7)</f>
        <v>221.64499999999998</v>
      </c>
      <c r="W7" s="125">
        <v>57.695</v>
      </c>
      <c r="X7" s="125">
        <v>51.375</v>
      </c>
      <c r="Y7" s="125">
        <v>52.4</v>
      </c>
      <c r="Z7" s="125">
        <v>102.83199999999999</v>
      </c>
      <c r="AB7" s="125">
        <f t="shared" ref="AB7:AB8" si="0">W7+X7+Y7+Z7</f>
        <v>264.30200000000002</v>
      </c>
      <c r="AD7" s="125">
        <v>75.287999999999997</v>
      </c>
      <c r="AE7" s="125">
        <v>59.511000000000003</v>
      </c>
      <c r="AF7" s="125">
        <v>73.441999999999993</v>
      </c>
      <c r="AH7" s="125">
        <f>SUM(AD7:AF7)</f>
        <v>208.24099999999999</v>
      </c>
    </row>
    <row r="8" spans="1:34" s="255" customFormat="1" ht="16.75">
      <c r="A8" s="252" t="s">
        <v>248</v>
      </c>
      <c r="B8" s="253">
        <f>+B6+B7</f>
        <v>40.887999999999998</v>
      </c>
      <c r="C8" s="253">
        <f>+C6+C7</f>
        <v>48.228999999999999</v>
      </c>
      <c r="D8" s="253">
        <f>+D6+D7</f>
        <v>58.983000000000004</v>
      </c>
      <c r="E8" s="253">
        <f>+E6+E7</f>
        <v>69.852000000000004</v>
      </c>
      <c r="F8" s="254"/>
      <c r="G8" s="253">
        <f>+B8+C8+D8+E8</f>
        <v>217.952</v>
      </c>
      <c r="H8" s="254"/>
      <c r="I8" s="253">
        <f>+I6+I7</f>
        <v>63.591999999999999</v>
      </c>
      <c r="J8" s="253">
        <f>+J6+J7</f>
        <v>76.384</v>
      </c>
      <c r="K8" s="253">
        <f>+K6+K7</f>
        <v>82.103000000000009</v>
      </c>
      <c r="L8" s="253">
        <f>+L6+L7</f>
        <v>100.685</v>
      </c>
      <c r="M8" s="254"/>
      <c r="N8" s="253">
        <f>+I8+J8+K8+L8</f>
        <v>322.76400000000001</v>
      </c>
      <c r="P8" s="253">
        <f>+P6+P7</f>
        <v>94.72999999999999</v>
      </c>
      <c r="Q8" s="253">
        <f>+Q6+Q7</f>
        <v>102.554</v>
      </c>
      <c r="R8" s="253">
        <f>+R6+R7</f>
        <v>115.78700000000001</v>
      </c>
      <c r="S8" s="253">
        <f>+S6+S7</f>
        <v>131.13399999999999</v>
      </c>
      <c r="T8" s="254"/>
      <c r="U8" s="253">
        <f>+U6+U7</f>
        <v>444.20499999999998</v>
      </c>
      <c r="W8" s="253">
        <f>+W6+W7</f>
        <v>117.148</v>
      </c>
      <c r="X8" s="253">
        <f>+X6+X7</f>
        <v>113.441</v>
      </c>
      <c r="Y8" s="253">
        <f>+Y6+Y7</f>
        <v>115.651</v>
      </c>
      <c r="Z8" s="253">
        <f>+Z6+Z7</f>
        <v>168.58799999999999</v>
      </c>
      <c r="AB8" s="253">
        <f t="shared" si="0"/>
        <v>514.82799999999997</v>
      </c>
      <c r="AD8" s="253">
        <f>+AD6+AD7</f>
        <v>140.983</v>
      </c>
      <c r="AE8" s="253">
        <f>+AE6+AE7</f>
        <v>131.10400000000001</v>
      </c>
      <c r="AF8" s="253">
        <f>+AF6+AF7</f>
        <v>148.66199999999998</v>
      </c>
      <c r="AH8" s="253">
        <f>+AH6+AH7</f>
        <v>420.74900000000002</v>
      </c>
    </row>
    <row r="9" spans="1:34" s="46" customFormat="1" ht="16.75">
      <c r="A9" s="44"/>
      <c r="B9" s="55"/>
      <c r="C9" s="55"/>
      <c r="D9" s="55"/>
      <c r="E9" s="55"/>
      <c r="F9" s="128"/>
      <c r="G9" s="55"/>
      <c r="H9" s="128"/>
      <c r="I9" s="55"/>
      <c r="J9" s="55"/>
      <c r="K9" s="55"/>
      <c r="L9" s="55"/>
      <c r="M9" s="128"/>
      <c r="N9" s="55"/>
      <c r="P9" s="55"/>
      <c r="Q9" s="55"/>
      <c r="R9" s="55"/>
      <c r="S9" s="55"/>
      <c r="T9" s="128"/>
      <c r="U9" s="55"/>
      <c r="W9" s="55"/>
      <c r="X9" s="55"/>
      <c r="Y9" s="55"/>
      <c r="Z9" s="55"/>
      <c r="AB9" s="55"/>
      <c r="AD9" s="55"/>
      <c r="AE9" s="55"/>
      <c r="AF9" s="55"/>
      <c r="AH9" s="55"/>
    </row>
    <row r="10" spans="1:34" s="46" customFormat="1" ht="16.75">
      <c r="A10" s="48" t="s">
        <v>249</v>
      </c>
      <c r="B10" s="49">
        <f t="shared" ref="B10:E12" si="1">+B14-B6</f>
        <v>2.8819999999999979</v>
      </c>
      <c r="C10" s="49">
        <f t="shared" si="1"/>
        <v>2.7060000000000031</v>
      </c>
      <c r="D10" s="49">
        <f t="shared" si="1"/>
        <v>1.8969999999999985</v>
      </c>
      <c r="E10" s="49">
        <f t="shared" si="1"/>
        <v>1.5030000000000001</v>
      </c>
      <c r="F10" s="140"/>
      <c r="G10" s="49">
        <f>+B10+C10+D10+E10</f>
        <v>8.9879999999999995</v>
      </c>
      <c r="H10" s="140"/>
      <c r="I10" s="49">
        <f t="shared" ref="I10:L12" si="2">+I14-I6</f>
        <v>0.78200000000000358</v>
      </c>
      <c r="J10" s="49">
        <f t="shared" si="2"/>
        <v>0.87199999999999989</v>
      </c>
      <c r="K10" s="49">
        <f t="shared" si="2"/>
        <v>1.9840000000000018</v>
      </c>
      <c r="L10" s="49">
        <f t="shared" si="2"/>
        <v>1.9200000000000017</v>
      </c>
      <c r="M10" s="140"/>
      <c r="N10" s="49">
        <f>+I10+J10+K10+L10</f>
        <v>5.5580000000000069</v>
      </c>
      <c r="P10" s="49">
        <f t="shared" ref="P10:S12" si="3">+P14-P6</f>
        <v>1.2690000000000055</v>
      </c>
      <c r="Q10" s="49">
        <f t="shared" si="3"/>
        <v>0.67999999999999972</v>
      </c>
      <c r="R10" s="49">
        <f t="shared" si="3"/>
        <v>0.37400000000000233</v>
      </c>
      <c r="S10" s="49">
        <f t="shared" si="3"/>
        <v>0.49000000000000199</v>
      </c>
      <c r="T10" s="140"/>
      <c r="U10" s="49">
        <f>+U14-U6</f>
        <v>2.8129999999999882</v>
      </c>
      <c r="W10" s="49">
        <f t="shared" ref="W10:X12" si="4">+W14-W6</f>
        <v>0.61199999999999477</v>
      </c>
      <c r="X10" s="49">
        <f t="shared" si="4"/>
        <v>0.23099999999999454</v>
      </c>
      <c r="Y10" s="49">
        <f>+Y14-Y6</f>
        <v>0.11700000000000443</v>
      </c>
      <c r="Z10" s="49">
        <f>+Z14-Z6</f>
        <v>0.10899999999999466</v>
      </c>
      <c r="AB10" s="49">
        <f t="shared" ref="AB10:AB12" si="5">W10+X10+Y10+Z10</f>
        <v>1.0689999999999884</v>
      </c>
      <c r="AD10" s="49">
        <f t="shared" ref="AD10" si="6">+AD14-AD6</f>
        <v>0</v>
      </c>
      <c r="AE10" s="49">
        <f>+AE14-AE6</f>
        <v>0</v>
      </c>
      <c r="AF10" s="49">
        <f>+AF14-AF6</f>
        <v>0</v>
      </c>
      <c r="AH10" s="49">
        <f>+AH14-AH6</f>
        <v>0</v>
      </c>
    </row>
    <row r="11" spans="1:34" s="46" customFormat="1" ht="16.75">
      <c r="A11" s="48" t="s">
        <v>250</v>
      </c>
      <c r="B11" s="125">
        <f t="shared" si="1"/>
        <v>4.3999999999999595E-2</v>
      </c>
      <c r="C11" s="125">
        <f t="shared" si="1"/>
        <v>4.4000000000000483E-2</v>
      </c>
      <c r="D11" s="125">
        <f t="shared" si="1"/>
        <v>4.6999999999997044E-2</v>
      </c>
      <c r="E11" s="125">
        <f t="shared" si="1"/>
        <v>4.1999999999998039E-2</v>
      </c>
      <c r="F11" s="140"/>
      <c r="G11" s="125">
        <f>+B11+C11+D11+E11</f>
        <v>0.17699999999999516</v>
      </c>
      <c r="H11" s="140"/>
      <c r="I11" s="125">
        <f t="shared" si="2"/>
        <v>6.1999999999997613E-2</v>
      </c>
      <c r="J11" s="125">
        <f t="shared" si="2"/>
        <v>0</v>
      </c>
      <c r="K11" s="125">
        <f t="shared" si="2"/>
        <v>9.9999999999766942E-4</v>
      </c>
      <c r="L11" s="125">
        <f t="shared" si="2"/>
        <v>0</v>
      </c>
      <c r="M11" s="140"/>
      <c r="N11" s="125">
        <f>+I11+J11+K11+L11</f>
        <v>6.2999999999995282E-2</v>
      </c>
      <c r="P11" s="125">
        <f t="shared" si="3"/>
        <v>0</v>
      </c>
      <c r="Q11" s="125">
        <f t="shared" si="3"/>
        <v>0</v>
      </c>
      <c r="R11" s="125">
        <f t="shared" si="3"/>
        <v>0</v>
      </c>
      <c r="S11" s="125">
        <f t="shared" si="3"/>
        <v>0</v>
      </c>
      <c r="T11" s="140"/>
      <c r="U11" s="125">
        <f>+U15-U7</f>
        <v>0</v>
      </c>
      <c r="W11" s="125">
        <f t="shared" si="4"/>
        <v>0</v>
      </c>
      <c r="X11" s="125">
        <f t="shared" si="4"/>
        <v>0</v>
      </c>
      <c r="Y11" s="125">
        <f t="shared" ref="Y11:Z11" si="7">+Y15-Y7</f>
        <v>0</v>
      </c>
      <c r="Z11" s="125">
        <f t="shared" si="7"/>
        <v>0</v>
      </c>
      <c r="AB11" s="125">
        <f t="shared" si="5"/>
        <v>0</v>
      </c>
      <c r="AD11" s="125">
        <f t="shared" ref="AD11:AE11" si="8">+AD15-AD7</f>
        <v>0</v>
      </c>
      <c r="AE11" s="125">
        <f t="shared" si="8"/>
        <v>0</v>
      </c>
      <c r="AF11" s="125">
        <f>+AF15-AF7</f>
        <v>0</v>
      </c>
      <c r="AH11" s="125">
        <f>+AH15-AH7</f>
        <v>0</v>
      </c>
    </row>
    <row r="12" spans="1:34" s="46" customFormat="1" ht="16.75">
      <c r="A12" s="44" t="s">
        <v>251</v>
      </c>
      <c r="B12" s="248">
        <f t="shared" si="1"/>
        <v>2.9260000000000019</v>
      </c>
      <c r="C12" s="248">
        <f t="shared" si="1"/>
        <v>2.75</v>
      </c>
      <c r="D12" s="248">
        <f t="shared" si="1"/>
        <v>1.9439999999999884</v>
      </c>
      <c r="E12" s="248">
        <f t="shared" si="1"/>
        <v>1.5449999999999875</v>
      </c>
      <c r="F12" s="144"/>
      <c r="G12" s="248">
        <f>+B12+C12+D12+E12</f>
        <v>9.1649999999999778</v>
      </c>
      <c r="H12" s="144"/>
      <c r="I12" s="248">
        <f t="shared" si="2"/>
        <v>0.8440000000000083</v>
      </c>
      <c r="J12" s="248">
        <f t="shared" si="2"/>
        <v>0.87199999999999989</v>
      </c>
      <c r="K12" s="248">
        <f t="shared" si="2"/>
        <v>1.9849999999999852</v>
      </c>
      <c r="L12" s="248">
        <f t="shared" si="2"/>
        <v>1.9200000000000017</v>
      </c>
      <c r="M12" s="144"/>
      <c r="N12" s="248">
        <f>+I12+J12+K12+L12</f>
        <v>5.6209999999999951</v>
      </c>
      <c r="P12" s="248">
        <f t="shared" si="3"/>
        <v>1.2690000000000055</v>
      </c>
      <c r="Q12" s="248">
        <f t="shared" si="3"/>
        <v>0.68000000000000682</v>
      </c>
      <c r="R12" s="248">
        <f t="shared" si="3"/>
        <v>0.37399999999999523</v>
      </c>
      <c r="S12" s="248">
        <f t="shared" si="3"/>
        <v>0.49000000000000909</v>
      </c>
      <c r="T12" s="144"/>
      <c r="U12" s="248">
        <f>+U16-U8</f>
        <v>2.8129999999999882</v>
      </c>
      <c r="W12" s="248">
        <f t="shared" si="4"/>
        <v>0.61199999999999477</v>
      </c>
      <c r="X12" s="248">
        <f t="shared" si="4"/>
        <v>0.23099999999999454</v>
      </c>
      <c r="Y12" s="248">
        <f t="shared" ref="Y12:Z12" si="9">+Y16-Y8</f>
        <v>0.11700000000000443</v>
      </c>
      <c r="Z12" s="248">
        <f t="shared" si="9"/>
        <v>0.10900000000000887</v>
      </c>
      <c r="AB12" s="248">
        <f t="shared" si="5"/>
        <v>1.0690000000000026</v>
      </c>
      <c r="AD12" s="248">
        <f t="shared" ref="AD12:AE12" si="10">+AD16-AD8</f>
        <v>0</v>
      </c>
      <c r="AE12" s="248">
        <f t="shared" si="10"/>
        <v>0</v>
      </c>
      <c r="AF12" s="248">
        <f>+AF16-AF8</f>
        <v>0</v>
      </c>
      <c r="AH12" s="248">
        <f>+AH16-AH8</f>
        <v>0</v>
      </c>
    </row>
    <row r="13" spans="1:34" s="46" customFormat="1" ht="16.75">
      <c r="A13" s="44"/>
      <c r="B13" s="72"/>
      <c r="C13" s="72"/>
      <c r="D13" s="72"/>
      <c r="E13" s="72"/>
      <c r="F13" s="143"/>
      <c r="G13" s="72"/>
      <c r="H13" s="143"/>
      <c r="I13" s="72"/>
      <c r="J13" s="72"/>
      <c r="K13" s="72"/>
      <c r="L13" s="72"/>
      <c r="M13" s="143"/>
      <c r="N13" s="72"/>
      <c r="P13" s="72"/>
      <c r="Q13" s="72"/>
      <c r="R13" s="72"/>
      <c r="S13" s="72"/>
      <c r="T13" s="143"/>
      <c r="U13" s="72"/>
      <c r="W13" s="72"/>
      <c r="X13" s="72"/>
      <c r="Y13" s="72"/>
      <c r="Z13" s="72"/>
      <c r="AB13" s="72"/>
      <c r="AD13" s="72"/>
      <c r="AE13" s="72"/>
      <c r="AF13" s="72"/>
      <c r="AH13" s="72"/>
    </row>
    <row r="14" spans="1:34" s="46" customFormat="1" ht="16.75">
      <c r="A14" s="48" t="s">
        <v>252</v>
      </c>
      <c r="B14" s="49">
        <v>36.274999999999999</v>
      </c>
      <c r="C14" s="49">
        <v>38.524000000000001</v>
      </c>
      <c r="D14" s="49">
        <v>39.302999999999997</v>
      </c>
      <c r="E14" s="49">
        <v>40.847999999999999</v>
      </c>
      <c r="F14" s="140"/>
      <c r="G14" s="49">
        <f>+B14+C14+D14+E14</f>
        <v>154.94999999999999</v>
      </c>
      <c r="H14" s="140"/>
      <c r="I14" s="49">
        <v>40.091000000000001</v>
      </c>
      <c r="J14" s="49">
        <v>43.811999999999998</v>
      </c>
      <c r="K14" s="49">
        <v>50.374000000000002</v>
      </c>
      <c r="L14" s="49">
        <v>54.316000000000003</v>
      </c>
      <c r="M14" s="140"/>
      <c r="N14" s="49">
        <f>+I14+J14+K14+L14</f>
        <v>188.59299999999999</v>
      </c>
      <c r="P14" s="49">
        <v>50.554000000000002</v>
      </c>
      <c r="Q14" s="49">
        <v>55.359000000000002</v>
      </c>
      <c r="R14" s="49">
        <v>57.414999999999999</v>
      </c>
      <c r="S14" s="49">
        <v>62.045000000000002</v>
      </c>
      <c r="T14" s="140"/>
      <c r="U14" s="49">
        <f>SUM(P14:S14)</f>
        <v>225.37299999999999</v>
      </c>
      <c r="W14" s="49">
        <v>60.064999999999998</v>
      </c>
      <c r="X14" s="49">
        <v>62.296999999999997</v>
      </c>
      <c r="Y14" s="49">
        <v>63.368000000000002</v>
      </c>
      <c r="Z14" s="49">
        <v>65.864999999999995</v>
      </c>
      <c r="AB14" s="49">
        <f t="shared" ref="AB14:AB16" si="11">W14+X14+Y14+Z14</f>
        <v>251.59499999999997</v>
      </c>
      <c r="AD14" s="49">
        <v>65.694999999999993</v>
      </c>
      <c r="AE14" s="49">
        <v>71.593000000000004</v>
      </c>
      <c r="AF14" s="49">
        <v>75.22</v>
      </c>
      <c r="AH14" s="49">
        <f>SUM(AD14:AF14)</f>
        <v>212.50800000000001</v>
      </c>
    </row>
    <row r="15" spans="1:34" s="46" customFormat="1" ht="16.75">
      <c r="A15" s="48" t="s">
        <v>253</v>
      </c>
      <c r="B15" s="125">
        <v>7.5389999999999997</v>
      </c>
      <c r="C15" s="125">
        <v>12.455</v>
      </c>
      <c r="D15" s="125">
        <v>21.623999999999999</v>
      </c>
      <c r="E15" s="125">
        <v>30.548999999999999</v>
      </c>
      <c r="F15" s="140"/>
      <c r="G15" s="125">
        <f>+B15+C15+D15+E15</f>
        <v>72.167000000000002</v>
      </c>
      <c r="H15" s="140"/>
      <c r="I15" s="125">
        <v>24.344999999999999</v>
      </c>
      <c r="J15" s="125">
        <v>33.444000000000003</v>
      </c>
      <c r="K15" s="125">
        <v>33.713999999999999</v>
      </c>
      <c r="L15" s="125">
        <v>48.289000000000001</v>
      </c>
      <c r="M15" s="140"/>
      <c r="N15" s="125">
        <f>+I15+J15+K15+L15</f>
        <v>139.792</v>
      </c>
      <c r="P15" s="125">
        <v>45.445</v>
      </c>
      <c r="Q15" s="125">
        <v>47.875</v>
      </c>
      <c r="R15" s="125">
        <v>58.746000000000002</v>
      </c>
      <c r="S15" s="125">
        <v>69.578999999999994</v>
      </c>
      <c r="T15" s="140"/>
      <c r="U15" s="125">
        <f>SUM(P15:S15)</f>
        <v>221.64499999999998</v>
      </c>
      <c r="W15" s="125">
        <v>57.695</v>
      </c>
      <c r="X15" s="125">
        <v>51.375</v>
      </c>
      <c r="Y15" s="125">
        <v>52.4</v>
      </c>
      <c r="Z15" s="125">
        <v>102.83199999999999</v>
      </c>
      <c r="AB15" s="125">
        <f t="shared" si="11"/>
        <v>264.30200000000002</v>
      </c>
      <c r="AD15" s="125">
        <v>75.287999999999997</v>
      </c>
      <c r="AE15" s="125">
        <v>59.511000000000003</v>
      </c>
      <c r="AF15" s="125">
        <v>73.441999999999993</v>
      </c>
      <c r="AH15" s="125">
        <f>SUM(AD15:AF15)</f>
        <v>208.24099999999999</v>
      </c>
    </row>
    <row r="16" spans="1:34" s="46" customFormat="1" ht="16.75">
      <c r="A16" s="44" t="s">
        <v>254</v>
      </c>
      <c r="B16" s="127">
        <f>+B14+B15</f>
        <v>43.814</v>
      </c>
      <c r="C16" s="127">
        <f>+C14+C15</f>
        <v>50.978999999999999</v>
      </c>
      <c r="D16" s="127">
        <f>+D14+D15</f>
        <v>60.926999999999992</v>
      </c>
      <c r="E16" s="127">
        <f>+E14+E15</f>
        <v>71.396999999999991</v>
      </c>
      <c r="F16" s="128"/>
      <c r="G16" s="127">
        <f>+B16+C16+D16+E16</f>
        <v>227.11699999999999</v>
      </c>
      <c r="H16" s="128"/>
      <c r="I16" s="127">
        <f>+I14+I15</f>
        <v>64.436000000000007</v>
      </c>
      <c r="J16" s="127">
        <f>+J14+J15</f>
        <v>77.256</v>
      </c>
      <c r="K16" s="127">
        <f>+K14+K15</f>
        <v>84.087999999999994</v>
      </c>
      <c r="L16" s="127">
        <f>+L14+L15</f>
        <v>102.605</v>
      </c>
      <c r="M16" s="128"/>
      <c r="N16" s="127">
        <f>+I16+J16+K16+L16</f>
        <v>328.38499999999999</v>
      </c>
      <c r="P16" s="127">
        <f>+P14+P15</f>
        <v>95.998999999999995</v>
      </c>
      <c r="Q16" s="127">
        <f>+Q14+Q15</f>
        <v>103.23400000000001</v>
      </c>
      <c r="R16" s="127">
        <f>+R14+R15</f>
        <v>116.161</v>
      </c>
      <c r="S16" s="127">
        <f>+S14+S15</f>
        <v>131.624</v>
      </c>
      <c r="T16" s="128"/>
      <c r="U16" s="127">
        <f>+U14+U15</f>
        <v>447.01799999999997</v>
      </c>
      <c r="W16" s="127">
        <f>+W14+W15</f>
        <v>117.75999999999999</v>
      </c>
      <c r="X16" s="127">
        <f>+X14+X15</f>
        <v>113.672</v>
      </c>
      <c r="Y16" s="127">
        <f>+Y14+Y15</f>
        <v>115.768</v>
      </c>
      <c r="Z16" s="127">
        <f>+Z14+Z15</f>
        <v>168.697</v>
      </c>
      <c r="AB16" s="127">
        <f t="shared" si="11"/>
        <v>515.89699999999993</v>
      </c>
      <c r="AD16" s="127">
        <f>+AD14+AD15</f>
        <v>140.983</v>
      </c>
      <c r="AE16" s="127">
        <f>+AE14+AE15</f>
        <v>131.10400000000001</v>
      </c>
      <c r="AF16" s="127">
        <f>+AF14+AF15</f>
        <v>148.66199999999998</v>
      </c>
      <c r="AH16" s="127">
        <f>+AH14+AH15</f>
        <v>420.74900000000002</v>
      </c>
    </row>
    <row r="17" spans="1:1" s="51" customFormat="1" ht="16.75"/>
    <row r="18" spans="1:1" s="51" customFormat="1" ht="16.75"/>
    <row r="19" spans="1:1" s="51" customFormat="1" ht="16.75"/>
    <row r="20" spans="1:1" s="51" customFormat="1" ht="16.75"/>
    <row r="21" spans="1:1" s="51" customFormat="1" ht="16.75"/>
    <row r="22" spans="1:1">
      <c r="A22" s="37"/>
    </row>
    <row r="23" spans="1:1">
      <c r="A23" s="37"/>
    </row>
    <row r="24" spans="1:1">
      <c r="A24" s="37"/>
    </row>
    <row r="25" spans="1:1">
      <c r="A25" s="37"/>
    </row>
    <row r="26" spans="1:1">
      <c r="A26" s="37"/>
    </row>
    <row r="27" spans="1:1">
      <c r="A27" s="37"/>
    </row>
    <row r="28" spans="1:1">
      <c r="A28" s="37"/>
    </row>
    <row r="29" spans="1:1">
      <c r="A29" s="37"/>
    </row>
    <row r="30" spans="1:1">
      <c r="A30" s="37"/>
    </row>
    <row r="31" spans="1:1">
      <c r="A31" s="37"/>
    </row>
    <row r="32" spans="1:1">
      <c r="A32" s="37"/>
    </row>
    <row r="33" spans="1:1">
      <c r="A33" s="37"/>
    </row>
    <row r="34" spans="1:1">
      <c r="A34" s="37"/>
    </row>
    <row r="35" spans="1:1">
      <c r="A35" s="37"/>
    </row>
    <row r="36" spans="1:1">
      <c r="A36" s="37"/>
    </row>
    <row r="37" spans="1:1">
      <c r="A37" s="37"/>
    </row>
    <row r="38" spans="1:1">
      <c r="A38" s="37"/>
    </row>
    <row r="39" spans="1:1">
      <c r="A39" s="37"/>
    </row>
    <row r="40" spans="1:1">
      <c r="A40" s="37"/>
    </row>
    <row r="41" spans="1:1">
      <c r="A41" s="37"/>
    </row>
    <row r="42" spans="1:1">
      <c r="A42" s="37"/>
    </row>
    <row r="43" spans="1:1">
      <c r="A43" s="37"/>
    </row>
    <row r="44" spans="1:1">
      <c r="A44" s="37"/>
    </row>
    <row r="45" spans="1:1">
      <c r="A45" s="37"/>
    </row>
    <row r="46" spans="1:1">
      <c r="A46" s="37"/>
    </row>
    <row r="47" spans="1:1">
      <c r="A47" s="37"/>
    </row>
    <row r="48" spans="1:1">
      <c r="A48" s="37"/>
    </row>
    <row r="49" spans="1:1">
      <c r="A49" s="37"/>
    </row>
    <row r="50" spans="1:1">
      <c r="A50" s="37"/>
    </row>
    <row r="51" spans="1:1">
      <c r="A51" s="37"/>
    </row>
    <row r="52" spans="1:1">
      <c r="A52" s="37"/>
    </row>
    <row r="53" spans="1:1">
      <c r="A53" s="37"/>
    </row>
    <row r="54" spans="1:1">
      <c r="A54" s="37"/>
    </row>
    <row r="55" spans="1:1">
      <c r="A55" s="37"/>
    </row>
    <row r="56" spans="1:1">
      <c r="A56" s="37"/>
    </row>
    <row r="57" spans="1:1">
      <c r="A57" s="37"/>
    </row>
    <row r="58" spans="1:1">
      <c r="A58" s="37"/>
    </row>
    <row r="59" spans="1:1">
      <c r="A59" s="37"/>
    </row>
    <row r="60" spans="1:1">
      <c r="A60" s="37"/>
    </row>
    <row r="61" spans="1:1">
      <c r="A61" s="37"/>
    </row>
    <row r="62" spans="1:1">
      <c r="A62" s="37"/>
    </row>
    <row r="63" spans="1:1">
      <c r="A63" s="37"/>
    </row>
    <row r="64" spans="1:1">
      <c r="A64" s="37"/>
    </row>
    <row r="65" spans="1:1">
      <c r="A65" s="37"/>
    </row>
    <row r="66" spans="1:1">
      <c r="A66" s="37"/>
    </row>
    <row r="67" spans="1:1">
      <c r="A67" s="37"/>
    </row>
    <row r="68" spans="1:1">
      <c r="A68" s="37"/>
    </row>
    <row r="69" spans="1:1">
      <c r="A69" s="37"/>
    </row>
    <row r="70" spans="1:1">
      <c r="A70" s="37"/>
    </row>
    <row r="71" spans="1:1">
      <c r="A71" s="37"/>
    </row>
    <row r="72" spans="1:1">
      <c r="A72" s="37"/>
    </row>
    <row r="73" spans="1:1">
      <c r="A73" s="37"/>
    </row>
    <row r="74" spans="1:1">
      <c r="A74" s="37"/>
    </row>
    <row r="75" spans="1:1">
      <c r="A75" s="37"/>
    </row>
    <row r="76" spans="1:1">
      <c r="A76" s="37"/>
    </row>
    <row r="77" spans="1:1">
      <c r="A77" s="37"/>
    </row>
    <row r="78" spans="1:1">
      <c r="A78" s="37"/>
    </row>
    <row r="79" spans="1:1">
      <c r="A79" s="37"/>
    </row>
    <row r="80" spans="1:1">
      <c r="A80" s="37"/>
    </row>
    <row r="81" spans="1:1">
      <c r="A81" s="37"/>
    </row>
    <row r="82" spans="1:1">
      <c r="A82" s="37"/>
    </row>
    <row r="83" spans="1:1">
      <c r="A83" s="37"/>
    </row>
    <row r="84" spans="1:1">
      <c r="A84" s="37"/>
    </row>
    <row r="85" spans="1:1">
      <c r="A85" s="37"/>
    </row>
    <row r="86" spans="1:1">
      <c r="A86" s="37"/>
    </row>
    <row r="87" spans="1:1">
      <c r="A87" s="37"/>
    </row>
    <row r="88" spans="1:1">
      <c r="A88" s="37"/>
    </row>
    <row r="89" spans="1:1">
      <c r="A89" s="37"/>
    </row>
    <row r="90" spans="1:1">
      <c r="A90" s="37"/>
    </row>
    <row r="91" spans="1:1">
      <c r="A91" s="37"/>
    </row>
    <row r="92" spans="1:1">
      <c r="A92" s="37"/>
    </row>
    <row r="93" spans="1:1">
      <c r="A93" s="37"/>
    </row>
    <row r="94" spans="1:1">
      <c r="A94" s="37"/>
    </row>
    <row r="95" spans="1:1">
      <c r="A95" s="37"/>
    </row>
    <row r="96" spans="1:1">
      <c r="A96" s="37"/>
    </row>
    <row r="97" spans="1:1">
      <c r="A97" s="37"/>
    </row>
    <row r="98" spans="1:1">
      <c r="A98" s="37"/>
    </row>
    <row r="99" spans="1:1">
      <c r="A99" s="37"/>
    </row>
    <row r="100" spans="1:1">
      <c r="A100" s="37"/>
    </row>
    <row r="101" spans="1:1">
      <c r="A101" s="37"/>
    </row>
    <row r="102" spans="1:1">
      <c r="A102" s="37"/>
    </row>
    <row r="103" spans="1:1">
      <c r="A103" s="37"/>
    </row>
    <row r="104" spans="1:1">
      <c r="A104" s="37"/>
    </row>
    <row r="105" spans="1:1">
      <c r="A105" s="37"/>
    </row>
    <row r="106" spans="1:1">
      <c r="A106" s="37"/>
    </row>
    <row r="107" spans="1:1">
      <c r="A107" s="37"/>
    </row>
    <row r="108" spans="1:1">
      <c r="A108" s="37"/>
    </row>
    <row r="109" spans="1:1">
      <c r="A109" s="37"/>
    </row>
    <row r="110" spans="1:1">
      <c r="A110" s="37"/>
    </row>
    <row r="111" spans="1:1">
      <c r="A111" s="37"/>
    </row>
  </sheetData>
  <mergeCells count="5">
    <mergeCell ref="B3:E3"/>
    <mergeCell ref="I3:L3"/>
    <mergeCell ref="P3:S3"/>
    <mergeCell ref="W3:Z3"/>
    <mergeCell ref="AD3:AF3"/>
  </mergeCells>
  <pageMargins left="0.25" right="0.25" top="0.75" bottom="0.75" header="0.3" footer="0.3"/>
  <pageSetup scale="4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EAC8B-E4D9-4DBE-9B08-1BF1DAFCD7DF}">
  <sheetPr codeName="Sheet18">
    <tabColor rgb="FFFFFFFF"/>
    <pageSetUpPr fitToPage="1"/>
  </sheetPr>
  <dimension ref="A2:C25"/>
  <sheetViews>
    <sheetView zoomScale="65" zoomScaleNormal="65" zoomScaleSheetLayoutView="70" workbookViewId="0"/>
  </sheetViews>
  <sheetFormatPr defaultColWidth="9.1328125" defaultRowHeight="16.75"/>
  <cols>
    <col min="1" max="1" width="9.1328125" style="51"/>
    <col min="2" max="2" width="5.40625" style="51" customWidth="1"/>
    <col min="3" max="3" width="255.40625" style="51" bestFit="1" customWidth="1"/>
    <col min="4" max="4" width="13.86328125" style="51" customWidth="1"/>
    <col min="5" max="16384" width="9.1328125" style="51"/>
  </cols>
  <sheetData>
    <row r="2" spans="1:3" ht="18">
      <c r="C2" s="87" t="s">
        <v>16</v>
      </c>
    </row>
    <row r="3" spans="1:3">
      <c r="C3" s="64"/>
    </row>
    <row r="4" spans="1:3">
      <c r="C4" s="51" t="s">
        <v>255</v>
      </c>
    </row>
    <row r="6" spans="1:3" s="89" customFormat="1">
      <c r="B6" s="88"/>
      <c r="C6" s="90"/>
    </row>
    <row r="7" spans="1:3" s="89" customFormat="1" ht="33.5">
      <c r="B7" s="91" t="s">
        <v>256</v>
      </c>
      <c r="C7" s="88" t="s">
        <v>257</v>
      </c>
    </row>
    <row r="8" spans="1:3" s="89" customFormat="1">
      <c r="B8" s="88"/>
    </row>
    <row r="9" spans="1:3" s="89" customFormat="1" ht="33.75" customHeight="1">
      <c r="B9" s="91" t="s">
        <v>258</v>
      </c>
      <c r="C9" s="34" t="s">
        <v>307</v>
      </c>
    </row>
    <row r="10" spans="1:3" s="89" customFormat="1"/>
    <row r="11" spans="1:3">
      <c r="B11" s="91" t="s">
        <v>259</v>
      </c>
      <c r="C11" s="88" t="s">
        <v>260</v>
      </c>
    </row>
    <row r="13" spans="1:3" s="89" customFormat="1">
      <c r="B13" s="91" t="s">
        <v>261</v>
      </c>
      <c r="C13" s="88" t="s">
        <v>262</v>
      </c>
    </row>
    <row r="14" spans="1:3">
      <c r="B14" s="91"/>
    </row>
    <row r="15" spans="1:3">
      <c r="A15" s="89"/>
      <c r="B15" s="91" t="s">
        <v>263</v>
      </c>
      <c r="C15" s="88" t="s">
        <v>264</v>
      </c>
    </row>
    <row r="17" spans="2:3" ht="33.5">
      <c r="B17" s="91" t="s">
        <v>265</v>
      </c>
      <c r="C17" s="88" t="s">
        <v>266</v>
      </c>
    </row>
    <row r="19" spans="2:3" ht="50.25">
      <c r="B19" s="91" t="s">
        <v>267</v>
      </c>
      <c r="C19" s="88" t="s">
        <v>268</v>
      </c>
    </row>
    <row r="21" spans="2:3">
      <c r="B21" s="91"/>
    </row>
    <row r="23" spans="2:3">
      <c r="B23" s="91"/>
      <c r="C23" s="34"/>
    </row>
    <row r="25" spans="2:3">
      <c r="B25" s="91"/>
      <c r="C25" s="34"/>
    </row>
  </sheetData>
  <pageMargins left="0.25" right="0.25" top="0.75" bottom="0.75" header="0.3" footer="0.3"/>
  <pageSetup scale="48" orientation="landscape" r:id="rId1"/>
  <ignoredErrors>
    <ignoredError sqref="B7 B9 B11 B13 B15 B17 B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C0F7F-EFEF-4514-B8C3-1C9BB4F67BDB}">
  <sheetPr codeName="Sheet2">
    <tabColor rgb="FF0079FF"/>
    <pageSetUpPr fitToPage="1"/>
  </sheetPr>
  <dimension ref="A1:BA27"/>
  <sheetViews>
    <sheetView showGridLines="0" zoomScale="70" zoomScaleNormal="70" zoomScaleSheetLayoutView="85" workbookViewId="0">
      <pane xSplit="1" ySplit="5" topLeftCell="B6" activePane="bottomRight" state="frozen"/>
      <selection pane="topRight" activeCell="B1" sqref="B1"/>
      <selection pane="bottomLeft" activeCell="A6" sqref="A6"/>
      <selection pane="bottomRight" activeCell="X9" sqref="X9"/>
    </sheetView>
  </sheetViews>
  <sheetFormatPr defaultColWidth="9.1328125" defaultRowHeight="14.25" outlineLevelCol="1"/>
  <cols>
    <col min="1" max="1" width="57.40625" style="7" bestFit="1" customWidth="1"/>
    <col min="2" max="2" width="1.40625" style="7" customWidth="1"/>
    <col min="3" max="6" width="17.86328125" style="7" hidden="1" customWidth="1" outlineLevel="1"/>
    <col min="7" max="7" width="2.1328125" style="7" hidden="1" customWidth="1" outlineLevel="1"/>
    <col min="8" max="8" width="17.86328125" style="7" customWidth="1" collapsed="1"/>
    <col min="9" max="9" width="1.40625" style="7" customWidth="1"/>
    <col min="10" max="13" width="15.40625" style="7" hidden="1" customWidth="1" outlineLevel="1"/>
    <col min="14" max="14" width="1.40625" style="7" hidden="1" customWidth="1" outlineLevel="1"/>
    <col min="15" max="15" width="17.86328125" style="7" customWidth="1" collapsed="1"/>
    <col min="16" max="16" width="1.40625" style="7" hidden="1" customWidth="1" outlineLevel="1"/>
    <col min="17" max="20" width="16.26953125" style="7" hidden="1" customWidth="1" outlineLevel="1"/>
    <col min="21" max="21" width="1.40625" style="7" hidden="1" customWidth="1" outlineLevel="1"/>
    <col min="22" max="22" width="16.40625" style="7" hidden="1" customWidth="1" outlineLevel="1"/>
    <col min="23" max="23" width="3.40625" style="7" customWidth="1" collapsed="1"/>
    <col min="24" max="27" width="17.86328125" style="7" bestFit="1" customWidth="1"/>
    <col min="28" max="28" width="3.86328125" style="7" customWidth="1"/>
    <col min="29" max="29" width="16.40625" style="7" customWidth="1"/>
    <col min="30" max="30" width="3.40625" style="7" customWidth="1"/>
    <col min="31" max="32" width="19.26953125" style="7" customWidth="1"/>
    <col min="33" max="33" width="19.40625" style="7" customWidth="1"/>
    <col min="34" max="34" width="2.86328125" style="7" customWidth="1"/>
    <col min="35" max="35" width="19.40625" style="7" customWidth="1"/>
    <col min="36" max="16384" width="9.1328125" style="7"/>
  </cols>
  <sheetData>
    <row r="1" spans="1:53" ht="18">
      <c r="A1" s="5" t="s">
        <v>340</v>
      </c>
    </row>
    <row r="2" spans="1:53" ht="15" thickBot="1"/>
    <row r="3" spans="1:53" s="8" customFormat="1" ht="32.25" customHeight="1" thickBot="1">
      <c r="A3" s="256" t="s">
        <v>18</v>
      </c>
      <c r="C3" s="307" t="s">
        <v>19</v>
      </c>
      <c r="D3" s="308"/>
      <c r="E3" s="308"/>
      <c r="F3" s="309"/>
      <c r="G3" s="167"/>
      <c r="H3" s="237" t="s">
        <v>20</v>
      </c>
      <c r="J3" s="307" t="s">
        <v>19</v>
      </c>
      <c r="K3" s="308"/>
      <c r="L3" s="308"/>
      <c r="M3" s="309"/>
      <c r="O3" s="237" t="s">
        <v>20</v>
      </c>
      <c r="Q3" s="307" t="s">
        <v>19</v>
      </c>
      <c r="R3" s="308"/>
      <c r="S3" s="308"/>
      <c r="T3" s="309"/>
      <c r="V3" s="237" t="s">
        <v>20</v>
      </c>
      <c r="X3" s="307" t="s">
        <v>21</v>
      </c>
      <c r="Y3" s="308"/>
      <c r="Z3" s="308"/>
      <c r="AA3" s="309"/>
      <c r="AC3" s="237" t="s">
        <v>22</v>
      </c>
      <c r="AE3" s="307" t="s">
        <v>21</v>
      </c>
      <c r="AF3" s="308"/>
      <c r="AG3" s="309"/>
      <c r="AI3" s="237" t="s">
        <v>318</v>
      </c>
    </row>
    <row r="4" spans="1:53" s="235" customFormat="1" ht="33.75" customHeight="1" thickBot="1">
      <c r="A4" s="258"/>
      <c r="C4" s="234">
        <v>43951</v>
      </c>
      <c r="D4" s="234">
        <v>44043</v>
      </c>
      <c r="E4" s="239">
        <v>44135</v>
      </c>
      <c r="F4" s="240">
        <v>44227</v>
      </c>
      <c r="G4" s="169"/>
      <c r="H4" s="241">
        <v>44227</v>
      </c>
      <c r="J4" s="234">
        <v>44316</v>
      </c>
      <c r="K4" s="239">
        <v>44408</v>
      </c>
      <c r="L4" s="239">
        <v>44500</v>
      </c>
      <c r="M4" s="240">
        <v>44592</v>
      </c>
      <c r="O4" s="241">
        <v>44592</v>
      </c>
      <c r="Q4" s="234">
        <v>44681</v>
      </c>
      <c r="R4" s="239">
        <v>44773</v>
      </c>
      <c r="S4" s="239">
        <v>44865</v>
      </c>
      <c r="T4" s="240">
        <v>44957</v>
      </c>
      <c r="V4" s="238">
        <v>44957</v>
      </c>
      <c r="X4" s="241" t="s">
        <v>23</v>
      </c>
      <c r="Y4" s="241">
        <v>45138</v>
      </c>
      <c r="Z4" s="241">
        <v>45230</v>
      </c>
      <c r="AA4" s="241">
        <v>45322</v>
      </c>
      <c r="AB4" s="236"/>
      <c r="AC4" s="238">
        <v>45322</v>
      </c>
      <c r="AE4" s="241">
        <v>45412</v>
      </c>
      <c r="AF4" s="241">
        <v>45504</v>
      </c>
      <c r="AG4" s="241" t="s">
        <v>323</v>
      </c>
      <c r="AI4" s="238">
        <v>45596</v>
      </c>
    </row>
    <row r="5" spans="1:53" s="8" customFormat="1" ht="42" customHeight="1" thickBot="1">
      <c r="A5" s="257" t="s">
        <v>24</v>
      </c>
      <c r="C5" s="11" t="s">
        <v>25</v>
      </c>
      <c r="D5" s="11" t="s">
        <v>25</v>
      </c>
      <c r="E5" s="11" t="s">
        <v>25</v>
      </c>
      <c r="F5" s="11" t="s">
        <v>25</v>
      </c>
      <c r="G5" s="168"/>
      <c r="H5" s="242" t="s">
        <v>25</v>
      </c>
      <c r="J5" s="11" t="s">
        <v>25</v>
      </c>
      <c r="K5" s="11" t="s">
        <v>25</v>
      </c>
      <c r="L5" s="11" t="s">
        <v>25</v>
      </c>
      <c r="M5" s="11" t="s">
        <v>25</v>
      </c>
      <c r="O5" s="242" t="s">
        <v>25</v>
      </c>
      <c r="Q5" s="11" t="s">
        <v>25</v>
      </c>
      <c r="R5" s="11" t="s">
        <v>25</v>
      </c>
      <c r="S5" s="11" t="s">
        <v>25</v>
      </c>
      <c r="T5" s="11" t="s">
        <v>25</v>
      </c>
      <c r="V5" s="11" t="s">
        <v>25</v>
      </c>
      <c r="X5" s="242" t="s">
        <v>25</v>
      </c>
      <c r="Y5" s="242" t="s">
        <v>25</v>
      </c>
      <c r="Z5" s="242" t="s">
        <v>25</v>
      </c>
      <c r="AA5" s="11" t="s">
        <v>25</v>
      </c>
      <c r="AB5"/>
      <c r="AC5" s="11" t="s">
        <v>25</v>
      </c>
      <c r="AE5" s="242" t="s">
        <v>25</v>
      </c>
      <c r="AF5" s="242" t="s">
        <v>25</v>
      </c>
      <c r="AG5" s="242" t="s">
        <v>25</v>
      </c>
      <c r="AI5" s="11" t="s">
        <v>25</v>
      </c>
    </row>
    <row r="6" spans="1:53" ht="25.5" customHeight="1" thickBot="1">
      <c r="A6" s="26" t="s">
        <v>338</v>
      </c>
      <c r="B6" s="14"/>
      <c r="C6" s="13"/>
      <c r="D6" s="13"/>
      <c r="E6" s="13"/>
      <c r="F6" s="13"/>
      <c r="H6" s="182"/>
      <c r="I6" s="14"/>
      <c r="J6" s="13"/>
      <c r="K6" s="13"/>
      <c r="L6" s="13"/>
      <c r="M6" s="13"/>
      <c r="N6" s="233"/>
      <c r="O6" s="182"/>
      <c r="P6" s="233"/>
      <c r="Q6" s="13"/>
      <c r="R6" s="13"/>
      <c r="S6" s="13"/>
      <c r="T6" s="13"/>
      <c r="U6" s="233"/>
      <c r="V6" s="13"/>
      <c r="W6" s="233"/>
      <c r="X6" s="13">
        <v>667.68373768367155</v>
      </c>
      <c r="Y6" s="13">
        <v>665.0175171760003</v>
      </c>
      <c r="Z6" s="13">
        <v>670.51994957519992</v>
      </c>
      <c r="AA6" s="13">
        <v>676.63081570279974</v>
      </c>
      <c r="AB6" s="233"/>
      <c r="AC6" s="13">
        <f>AA6</f>
        <v>676.63081570279974</v>
      </c>
      <c r="AD6" s="233"/>
      <c r="AE6" s="281">
        <v>668.13999286674607</v>
      </c>
      <c r="AF6" s="281">
        <v>684.69171952785393</v>
      </c>
      <c r="AG6" s="281">
        <v>695.3191171908104</v>
      </c>
      <c r="AI6" s="13">
        <f>AG6</f>
        <v>695.3191171908104</v>
      </c>
    </row>
    <row r="7" spans="1:53" ht="25.5" customHeight="1" thickBot="1">
      <c r="A7" s="16" t="s">
        <v>337</v>
      </c>
      <c r="B7" s="14"/>
      <c r="C7" s="13"/>
      <c r="D7" s="13"/>
      <c r="E7" s="13"/>
      <c r="F7" s="13"/>
      <c r="H7" s="182"/>
      <c r="I7" s="14"/>
      <c r="J7" s="13"/>
      <c r="K7" s="13"/>
      <c r="L7" s="13"/>
      <c r="M7" s="13"/>
      <c r="N7" s="233"/>
      <c r="O7" s="182"/>
      <c r="P7" s="233"/>
      <c r="Q7" s="13"/>
      <c r="R7" s="13"/>
      <c r="S7" s="13"/>
      <c r="T7" s="13"/>
      <c r="U7" s="233"/>
      <c r="V7" s="13"/>
      <c r="W7" s="233"/>
      <c r="X7" s="13"/>
      <c r="Y7" s="13"/>
      <c r="Z7" s="13"/>
      <c r="AA7" s="13"/>
      <c r="AB7" s="233"/>
      <c r="AC7" s="13"/>
      <c r="AD7" s="233"/>
      <c r="AE7" s="18">
        <f>+AE6/X6-1</f>
        <v>6.8334026624250477E-4</v>
      </c>
      <c r="AF7" s="18">
        <f>+AF6/Y6-1</f>
        <v>2.9584487391249858E-2</v>
      </c>
      <c r="AG7" s="18">
        <f>+AG6/Z6-1</f>
        <v>3.6984981030499853E-2</v>
      </c>
      <c r="AI7" s="18">
        <f>AG7</f>
        <v>3.6984981030499853E-2</v>
      </c>
    </row>
    <row r="8" spans="1:53" ht="25.5" customHeight="1" thickBot="1">
      <c r="A8" s="26"/>
      <c r="B8" s="14"/>
      <c r="C8" s="13"/>
      <c r="D8" s="13"/>
      <c r="E8" s="13"/>
      <c r="F8" s="13"/>
      <c r="H8" s="182"/>
      <c r="I8" s="14"/>
      <c r="J8" s="13"/>
      <c r="K8" s="13"/>
      <c r="L8" s="13"/>
      <c r="M8" s="13"/>
      <c r="N8" s="233"/>
      <c r="O8" s="182"/>
      <c r="P8" s="233"/>
      <c r="Q8" s="13"/>
      <c r="R8" s="13"/>
      <c r="S8" s="13"/>
      <c r="T8" s="13"/>
      <c r="U8" s="233"/>
      <c r="V8" s="13"/>
      <c r="W8" s="233"/>
      <c r="X8" s="13"/>
      <c r="Y8" s="13"/>
      <c r="Z8" s="13"/>
      <c r="AA8" s="13"/>
      <c r="AB8" s="233"/>
      <c r="AC8" s="13"/>
      <c r="AD8" s="233"/>
      <c r="AE8" s="281"/>
      <c r="AF8" s="281"/>
      <c r="AG8" s="281"/>
      <c r="AI8" s="13"/>
    </row>
    <row r="9" spans="1:53" ht="25.5" customHeight="1" thickBot="1">
      <c r="A9" s="26" t="s">
        <v>26</v>
      </c>
      <c r="B9" s="14"/>
      <c r="C9" s="13"/>
      <c r="D9" s="13"/>
      <c r="E9" s="13"/>
      <c r="F9" s="13"/>
      <c r="H9" s="182"/>
      <c r="I9" s="14"/>
      <c r="J9" s="13">
        <v>270.44659141058003</v>
      </c>
      <c r="K9" s="13">
        <v>302.41839507079999</v>
      </c>
      <c r="L9" s="13">
        <v>337.50963949440006</v>
      </c>
      <c r="M9" s="13">
        <v>397.43859866480005</v>
      </c>
      <c r="N9" s="233"/>
      <c r="O9" s="182">
        <f>+M9</f>
        <v>397.43859866480005</v>
      </c>
      <c r="P9" s="233"/>
      <c r="Q9" s="13">
        <v>401.83883486332593</v>
      </c>
      <c r="R9" s="13">
        <v>428.39322318439997</v>
      </c>
      <c r="S9" s="13">
        <v>460.81188319719979</v>
      </c>
      <c r="T9" s="13">
        <v>497.9816050796</v>
      </c>
      <c r="U9" s="233"/>
      <c r="V9" s="13">
        <f>+T9</f>
        <v>497.9816050796</v>
      </c>
      <c r="W9" s="233"/>
      <c r="X9" s="13">
        <v>493.67669586820682</v>
      </c>
      <c r="Y9" s="13">
        <v>502.85023942079999</v>
      </c>
      <c r="Z9" s="13">
        <v>512.30399999999997</v>
      </c>
      <c r="AA9" s="13">
        <v>534.4380560799998</v>
      </c>
      <c r="AB9" s="233"/>
      <c r="AC9" s="13">
        <f>+AA9</f>
        <v>534.4380560799998</v>
      </c>
      <c r="AD9" s="233"/>
      <c r="AE9" s="281">
        <v>537.66399999999999</v>
      </c>
      <c r="AF9" s="281">
        <v>556.49699999999996</v>
      </c>
      <c r="AG9" s="281">
        <v>570.13</v>
      </c>
      <c r="AI9" s="13">
        <f>+AG9</f>
        <v>570.13</v>
      </c>
    </row>
    <row r="10" spans="1:53" s="27" customFormat="1" ht="25.15" customHeight="1" thickBot="1">
      <c r="A10" s="16" t="s">
        <v>27</v>
      </c>
      <c r="B10" s="17"/>
      <c r="C10" s="18"/>
      <c r="D10" s="18"/>
      <c r="E10" s="18"/>
      <c r="F10" s="18"/>
      <c r="G10" s="7"/>
      <c r="H10" s="174"/>
      <c r="I10" s="17"/>
      <c r="J10" s="18"/>
      <c r="K10" s="18"/>
      <c r="L10" s="18"/>
      <c r="M10" s="18"/>
      <c r="N10" s="17"/>
      <c r="O10" s="174"/>
      <c r="P10" s="17"/>
      <c r="Q10" s="18">
        <f>+Q9/J9-1</f>
        <v>0.48583434816995719</v>
      </c>
      <c r="R10" s="18">
        <f>+R9/K9-1</f>
        <v>0.41655808696460972</v>
      </c>
      <c r="S10" s="18">
        <f>+S9/L9-1</f>
        <v>0.36532954699459941</v>
      </c>
      <c r="T10" s="18">
        <f>+T9/M9-1</f>
        <v>0.25297745803395899</v>
      </c>
      <c r="U10" s="17"/>
      <c r="V10" s="18">
        <f>+V9/O9-1</f>
        <v>0.25297745803395899</v>
      </c>
      <c r="W10" s="17"/>
      <c r="X10" s="18">
        <f>+X9/Q9-1</f>
        <v>0.22854401575227778</v>
      </c>
      <c r="Y10" s="18">
        <f>+Y9/R9-1</f>
        <v>0.17380530831681784</v>
      </c>
      <c r="Z10" s="18">
        <f>+Z9/S9-1</f>
        <v>0.11174216351700439</v>
      </c>
      <c r="AA10" s="18">
        <f>+AA9/T9-1</f>
        <v>7.3208429043422951E-2</v>
      </c>
      <c r="AB10" s="17"/>
      <c r="AC10" s="18">
        <f>+AA10</f>
        <v>7.3208429043422951E-2</v>
      </c>
      <c r="AD10" s="17"/>
      <c r="AE10" s="18">
        <f>+AE9/X9-1</f>
        <v>8.9101439261650262E-2</v>
      </c>
      <c r="AF10" s="18">
        <f>+AF9/Y9-1</f>
        <v>0.10668536350105384</v>
      </c>
      <c r="AG10" s="18">
        <f>+AG9/Z9-1</f>
        <v>0.11287438708266961</v>
      </c>
      <c r="AI10" s="18">
        <f>+AG10</f>
        <v>0.11287438708266961</v>
      </c>
    </row>
    <row r="11" spans="1:53" ht="25.5" customHeight="1" thickBot="1">
      <c r="A11" s="28"/>
      <c r="B11" s="29"/>
      <c r="I11" s="14"/>
      <c r="J11" s="14"/>
      <c r="K11" s="14"/>
      <c r="L11" s="14"/>
      <c r="M11" s="14"/>
      <c r="N11" s="14"/>
      <c r="O11" s="14"/>
      <c r="P11" s="14"/>
      <c r="Q11" s="14"/>
      <c r="R11" s="14"/>
      <c r="S11" s="14"/>
      <c r="T11" s="14"/>
      <c r="U11" s="14"/>
      <c r="V11" s="14"/>
      <c r="W11" s="14"/>
      <c r="X11" s="259"/>
      <c r="Y11" s="259"/>
      <c r="Z11" s="259"/>
      <c r="AA11" s="259"/>
      <c r="AB11" s="14"/>
      <c r="AC11" s="14"/>
      <c r="AD11" s="14"/>
      <c r="AE11" s="259"/>
      <c r="AF11" s="259"/>
      <c r="AG11" s="259"/>
      <c r="AH11" s="14"/>
      <c r="AI11" s="14"/>
      <c r="AJ11" s="14"/>
      <c r="AK11" s="14"/>
      <c r="AL11" s="14"/>
      <c r="AM11" s="14"/>
      <c r="AN11" s="14"/>
      <c r="AO11" s="14"/>
      <c r="AP11" s="14"/>
      <c r="AQ11" s="14"/>
      <c r="AR11" s="14"/>
      <c r="AS11" s="14"/>
      <c r="AT11" s="14"/>
      <c r="AU11" s="14"/>
      <c r="AV11" s="14"/>
      <c r="AW11" s="14"/>
      <c r="AX11" s="14"/>
      <c r="AY11" s="14"/>
      <c r="AZ11" s="14"/>
      <c r="BA11" s="14"/>
    </row>
    <row r="12" spans="1:53" ht="25.5" customHeight="1" thickBot="1">
      <c r="A12" s="26" t="s">
        <v>324</v>
      </c>
      <c r="B12" s="14"/>
      <c r="C12" s="181">
        <v>11.891999999999999</v>
      </c>
      <c r="D12" s="182">
        <v>16.696999999999999</v>
      </c>
      <c r="E12" s="182">
        <v>15.659000000000001</v>
      </c>
      <c r="F12" s="182">
        <v>21.907</v>
      </c>
      <c r="G12" s="21"/>
      <c r="H12" s="182">
        <f>SUM(C12:F12)</f>
        <v>66.155000000000001</v>
      </c>
      <c r="I12" s="14"/>
      <c r="J12" s="13">
        <v>18.803999999999998</v>
      </c>
      <c r="K12" s="13">
        <v>26.568000000000001</v>
      </c>
      <c r="L12" s="13">
        <v>18.312000000000001</v>
      </c>
      <c r="M12" s="13">
        <v>30.288</v>
      </c>
      <c r="N12" s="14"/>
      <c r="O12" s="182">
        <f>SUM(J12:M12)</f>
        <v>93.971999999999994</v>
      </c>
      <c r="P12" s="14"/>
      <c r="Q12" s="13">
        <v>24.065999999999999</v>
      </c>
      <c r="R12" s="13">
        <v>27.279</v>
      </c>
      <c r="S12" s="13">
        <v>26.832999999999998</v>
      </c>
      <c r="T12" s="13">
        <v>23.875</v>
      </c>
      <c r="U12" s="14"/>
      <c r="V12" s="13">
        <f>SUM(Q12:T12)</f>
        <v>102.053</v>
      </c>
      <c r="W12" s="14"/>
      <c r="X12" s="13">
        <v>15.99</v>
      </c>
      <c r="Y12" s="13">
        <v>26.459</v>
      </c>
      <c r="Z12" s="13">
        <v>25.388999999999999</v>
      </c>
      <c r="AA12" s="13">
        <v>25.443999999999999</v>
      </c>
      <c r="AB12" s="14"/>
      <c r="AC12" s="13">
        <f>SUM(X12:AA12)</f>
        <v>93.281999999999996</v>
      </c>
      <c r="AD12" s="14"/>
      <c r="AE12" s="13">
        <v>19.782509859999998</v>
      </c>
      <c r="AF12" s="13">
        <v>21.062999999999999</v>
      </c>
      <c r="AG12" s="13">
        <v>27.928999999999998</v>
      </c>
      <c r="AI12" s="13">
        <f>SUM(AE12:AG12)</f>
        <v>68.774509859999995</v>
      </c>
    </row>
    <row r="13" spans="1:53" ht="17">
      <c r="A13" s="20"/>
      <c r="B13" s="17"/>
      <c r="C13" s="162"/>
      <c r="D13" s="162"/>
      <c r="E13" s="162"/>
      <c r="F13" s="162"/>
      <c r="G13" s="162"/>
      <c r="H13" s="162"/>
      <c r="I13" s="14"/>
      <c r="J13" s="162"/>
      <c r="K13" s="162"/>
      <c r="L13" s="162"/>
      <c r="M13" s="162"/>
      <c r="N13" s="14"/>
      <c r="O13" s="162"/>
      <c r="P13" s="14"/>
      <c r="Q13" s="162"/>
      <c r="R13" s="162"/>
      <c r="S13" s="162"/>
      <c r="T13" s="162"/>
      <c r="U13" s="14"/>
      <c r="V13" s="162"/>
      <c r="W13" s="14"/>
      <c r="X13" s="162"/>
      <c r="Y13" s="162"/>
      <c r="Z13" s="162"/>
      <c r="AA13" s="162"/>
      <c r="AB13" s="14"/>
      <c r="AC13" s="162"/>
      <c r="AD13" s="14"/>
      <c r="AE13" s="162"/>
      <c r="AF13" s="162"/>
      <c r="AG13" s="162"/>
      <c r="AI13" s="162"/>
    </row>
    <row r="14" spans="1:53" ht="25.5" customHeight="1" thickBot="1">
      <c r="A14" s="257" t="s">
        <v>325</v>
      </c>
      <c r="B14" s="29"/>
      <c r="I14" s="14"/>
      <c r="J14" s="14"/>
      <c r="K14" s="14"/>
      <c r="L14" s="14"/>
      <c r="M14" s="14"/>
      <c r="N14" s="14"/>
      <c r="O14" s="14"/>
      <c r="P14" s="14"/>
      <c r="Q14" s="14"/>
      <c r="R14" s="14"/>
      <c r="S14" s="14"/>
      <c r="T14" s="14"/>
      <c r="U14" s="14"/>
      <c r="V14" s="14"/>
      <c r="W14" s="14"/>
      <c r="X14" s="259"/>
      <c r="Y14" s="259"/>
      <c r="Z14" s="259"/>
      <c r="AA14" s="259"/>
      <c r="AB14" s="14"/>
      <c r="AC14" s="14"/>
      <c r="AD14" s="14"/>
      <c r="AE14" s="259"/>
      <c r="AF14" s="259"/>
      <c r="AG14" s="259"/>
      <c r="AH14" s="14"/>
      <c r="AI14" s="14"/>
      <c r="AJ14" s="14"/>
      <c r="AK14" s="14"/>
      <c r="AL14" s="14"/>
      <c r="AM14" s="14"/>
      <c r="AN14" s="14"/>
      <c r="AO14" s="14"/>
      <c r="AP14" s="14"/>
      <c r="AQ14" s="14"/>
      <c r="AR14" s="14"/>
      <c r="AS14" s="14"/>
      <c r="AT14" s="14"/>
      <c r="AU14" s="14"/>
      <c r="AV14" s="14"/>
      <c r="AW14" s="14"/>
      <c r="AX14" s="14"/>
      <c r="AY14" s="14"/>
      <c r="AZ14" s="14"/>
      <c r="BA14" s="14"/>
    </row>
    <row r="15" spans="1:53" s="267" customFormat="1" ht="17.5" thickBot="1">
      <c r="A15" s="243" t="s">
        <v>310</v>
      </c>
      <c r="C15" s="245"/>
      <c r="D15" s="245"/>
      <c r="E15" s="245"/>
      <c r="F15" s="245"/>
      <c r="H15" s="245"/>
      <c r="I15" s="268"/>
      <c r="J15" s="291">
        <v>14.037071650000009</v>
      </c>
      <c r="K15" s="291">
        <v>20.375774329999999</v>
      </c>
      <c r="L15" s="291">
        <v>12.778264449999996</v>
      </c>
      <c r="M15" s="291">
        <v>19.838339649999998</v>
      </c>
      <c r="N15" s="14"/>
      <c r="O15" s="291">
        <f>+SUM(J15:M15)</f>
        <v>67.029450080000004</v>
      </c>
      <c r="P15" s="268"/>
      <c r="Q15" s="245">
        <v>15.03626739000001</v>
      </c>
      <c r="R15" s="245">
        <v>16.685410419999997</v>
      </c>
      <c r="S15" s="245">
        <v>17.361192200000001</v>
      </c>
      <c r="T15" s="245">
        <v>15.599051410000003</v>
      </c>
      <c r="U15" s="268"/>
      <c r="V15" s="245">
        <f>+SUM(Q15:T15)</f>
        <v>64.681921420000009</v>
      </c>
      <c r="W15" s="268"/>
      <c r="X15" s="245">
        <v>11.862863819999998</v>
      </c>
      <c r="Y15" s="245">
        <v>21.004074340000006</v>
      </c>
      <c r="Z15" s="245">
        <v>22.264965319999995</v>
      </c>
      <c r="AA15" s="245">
        <v>18.069328140000003</v>
      </c>
      <c r="AB15" s="268"/>
      <c r="AC15" s="245">
        <f>+SUM(X15:AA15)</f>
        <v>73.201231620000001</v>
      </c>
      <c r="AD15" s="268"/>
      <c r="AE15" s="245">
        <v>14.87161963</v>
      </c>
      <c r="AF15" s="245">
        <v>14.835000000000001</v>
      </c>
      <c r="AG15" s="245">
        <v>18.513999999999999</v>
      </c>
      <c r="AI15" s="245">
        <f>+SUM(AE15:AG15)</f>
        <v>48.220619630000002</v>
      </c>
    </row>
    <row r="16" spans="1:53" s="267" customFormat="1" ht="17.5" thickBot="1">
      <c r="A16" s="26" t="s">
        <v>315</v>
      </c>
      <c r="C16" s="245"/>
      <c r="D16" s="245"/>
      <c r="E16" s="245"/>
      <c r="F16" s="245"/>
      <c r="H16" s="245"/>
      <c r="I16" s="268"/>
      <c r="J16" s="291"/>
      <c r="K16" s="291"/>
      <c r="L16" s="291"/>
      <c r="M16" s="291"/>
      <c r="N16" s="14"/>
      <c r="O16" s="291"/>
      <c r="P16" s="268"/>
      <c r="Q16" s="245"/>
      <c r="R16" s="245"/>
      <c r="S16" s="245"/>
      <c r="T16" s="245"/>
      <c r="U16" s="293"/>
      <c r="V16" s="245"/>
      <c r="W16" s="268"/>
      <c r="X16" s="245">
        <f>9.58671282+0.764372860000002</f>
        <v>10.351085680000002</v>
      </c>
      <c r="Y16" s="245">
        <f>6.63753012+2.83324604000001</f>
        <v>9.4707761600000104</v>
      </c>
      <c r="Z16" s="245">
        <f>13.98559046+2.75456211</f>
        <v>16.740152569999999</v>
      </c>
      <c r="AA16" s="245">
        <f>12.58814337+4.95832152</f>
        <v>17.546464889999999</v>
      </c>
      <c r="AB16" s="293"/>
      <c r="AC16" s="245">
        <f>+SUM(X16:AA16)</f>
        <v>54.108479300000013</v>
      </c>
      <c r="AD16" s="293"/>
      <c r="AE16" s="245">
        <f>12.281535108583+2.227689526096</f>
        <v>14.509224634679001</v>
      </c>
      <c r="AF16" s="245">
        <f>11.001482562904+1.996288723725</f>
        <v>12.997771286629</v>
      </c>
      <c r="AG16" s="245">
        <v>17.811</v>
      </c>
      <c r="AH16" s="294"/>
      <c r="AI16" s="245">
        <f t="shared" ref="AI16:AI18" si="0">+SUM(AE16:AG16)</f>
        <v>45.317995921307997</v>
      </c>
    </row>
    <row r="17" spans="1:35" s="267" customFormat="1" ht="17.5" thickBot="1">
      <c r="A17" s="26" t="s">
        <v>316</v>
      </c>
      <c r="C17" s="291"/>
      <c r="D17" s="291"/>
      <c r="E17" s="291"/>
      <c r="F17" s="291"/>
      <c r="H17" s="245"/>
      <c r="I17" s="268"/>
      <c r="J17" s="291"/>
      <c r="K17" s="291"/>
      <c r="L17" s="291"/>
      <c r="M17" s="291"/>
      <c r="N17" s="14"/>
      <c r="O17" s="291"/>
      <c r="P17" s="268"/>
      <c r="Q17" s="291"/>
      <c r="R17" s="291"/>
      <c r="S17" s="291"/>
      <c r="T17" s="291"/>
      <c r="U17" s="233"/>
      <c r="V17" s="291"/>
      <c r="W17" s="268"/>
      <c r="X17" s="291">
        <f>X15-X16</f>
        <v>1.5117781399999952</v>
      </c>
      <c r="Y17" s="291">
        <f>Y15-Y16</f>
        <v>11.533298179999996</v>
      </c>
      <c r="Z17" s="291">
        <f>Z15-Z16</f>
        <v>5.5248127499999953</v>
      </c>
      <c r="AA17" s="291">
        <f>AA15-AA16</f>
        <v>0.52286325000000389</v>
      </c>
      <c r="AB17" s="233"/>
      <c r="AC17" s="291">
        <f>+SUM(X17:AA17)</f>
        <v>19.092752319999992</v>
      </c>
      <c r="AD17" s="293"/>
      <c r="AE17" s="291">
        <f>AE15-AE16</f>
        <v>0.36239499532099906</v>
      </c>
      <c r="AF17" s="291">
        <f>AF15-AF16</f>
        <v>1.837228713371001</v>
      </c>
      <c r="AG17" s="291">
        <f>AG15-AG16</f>
        <v>0.7029999999999994</v>
      </c>
      <c r="AH17" s="36"/>
      <c r="AI17" s="291">
        <f t="shared" si="0"/>
        <v>2.9026237086919995</v>
      </c>
    </row>
    <row r="18" spans="1:35" s="267" customFormat="1" ht="17.5" thickBot="1">
      <c r="A18" s="243" t="s">
        <v>311</v>
      </c>
      <c r="C18" s="245"/>
      <c r="D18" s="245"/>
      <c r="E18" s="245"/>
      <c r="F18" s="245"/>
      <c r="H18" s="245"/>
      <c r="I18" s="268"/>
      <c r="J18" s="245">
        <v>4.7667529699999847</v>
      </c>
      <c r="K18" s="245">
        <v>6.1924450800000024</v>
      </c>
      <c r="L18" s="245">
        <v>5.5333450499999994</v>
      </c>
      <c r="M18" s="245">
        <v>10.449742060000023</v>
      </c>
      <c r="N18" s="268"/>
      <c r="O18" s="245">
        <f>+SUM(J18:M18)</f>
        <v>26.942285160000008</v>
      </c>
      <c r="P18" s="268"/>
      <c r="Q18" s="245">
        <v>9.0302164799999893</v>
      </c>
      <c r="R18" s="245">
        <v>10.593332180000004</v>
      </c>
      <c r="S18" s="245">
        <v>9.4717350900000099</v>
      </c>
      <c r="T18" s="245">
        <v>8.2759485899999969</v>
      </c>
      <c r="U18" s="268"/>
      <c r="V18" s="245">
        <f>+SUM(Q18:T18)</f>
        <v>37.371232339999999</v>
      </c>
      <c r="W18" s="268"/>
      <c r="X18" s="245">
        <v>4.1271361800000026</v>
      </c>
      <c r="Y18" s="245">
        <v>5.4549256599999971</v>
      </c>
      <c r="Z18" s="245">
        <v>3.124363890000005</v>
      </c>
      <c r="AA18" s="245">
        <v>7.3740318200000061</v>
      </c>
      <c r="AB18" s="268"/>
      <c r="AC18" s="245">
        <f>+SUM(X18:AA18)</f>
        <v>20.080457550000013</v>
      </c>
      <c r="AD18" s="268"/>
      <c r="AE18" s="245">
        <v>4.9108902299999988</v>
      </c>
      <c r="AF18" s="245">
        <v>6.2279999999999998</v>
      </c>
      <c r="AG18" s="245">
        <v>9.4149999999999991</v>
      </c>
      <c r="AI18" s="245">
        <f t="shared" si="0"/>
        <v>20.553890229999997</v>
      </c>
    </row>
    <row r="19" spans="1:35">
      <c r="J19" s="36"/>
      <c r="K19" s="36"/>
      <c r="L19" s="36"/>
      <c r="M19" s="36"/>
      <c r="O19" s="36"/>
      <c r="Q19" s="36"/>
      <c r="R19" s="36"/>
      <c r="S19" s="36"/>
      <c r="T19" s="36"/>
      <c r="X19" s="36"/>
      <c r="Y19" s="36"/>
      <c r="Z19" s="36"/>
      <c r="AA19" s="36"/>
      <c r="AB19" s="36"/>
      <c r="AE19" s="36"/>
      <c r="AF19" s="36"/>
      <c r="AG19" s="36"/>
    </row>
    <row r="20" spans="1:35">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row>
    <row r="21" spans="1:35">
      <c r="C21" s="292"/>
      <c r="D21" s="292"/>
      <c r="E21" s="292"/>
      <c r="F21" s="292"/>
      <c r="G21" s="292"/>
      <c r="H21" s="292"/>
      <c r="I21" s="292"/>
      <c r="J21" s="292"/>
      <c r="K21" s="292"/>
      <c r="L21" s="292"/>
      <c r="M21" s="292"/>
      <c r="N21" s="292"/>
      <c r="O21" s="292"/>
      <c r="P21" s="292">
        <f>'[1]SaaS KPIs'!P23-P17</f>
        <v>0</v>
      </c>
      <c r="Q21" s="292"/>
      <c r="R21" s="292"/>
      <c r="S21" s="292"/>
      <c r="T21" s="292"/>
      <c r="U21" s="292"/>
      <c r="V21" s="292"/>
      <c r="W21" s="292"/>
      <c r="X21" s="292"/>
      <c r="Y21" s="292"/>
      <c r="Z21" s="292"/>
      <c r="AA21" s="292"/>
      <c r="AB21" s="292"/>
      <c r="AC21" s="292"/>
      <c r="AD21" s="292"/>
      <c r="AE21" s="292"/>
      <c r="AF21" s="292"/>
      <c r="AG21" s="292"/>
      <c r="AH21" s="292"/>
      <c r="AI21" s="292"/>
    </row>
    <row r="22" spans="1:35">
      <c r="C22" s="36"/>
    </row>
    <row r="23" spans="1:35" ht="83.25" customHeight="1">
      <c r="A23" s="91" t="s">
        <v>334</v>
      </c>
    </row>
    <row r="25" spans="1:35" ht="134">
      <c r="A25" s="91" t="s">
        <v>335</v>
      </c>
    </row>
    <row r="27" spans="1:35" ht="83.75">
      <c r="A27" s="91" t="s">
        <v>342</v>
      </c>
    </row>
  </sheetData>
  <mergeCells count="5">
    <mergeCell ref="C3:F3"/>
    <mergeCell ref="J3:M3"/>
    <mergeCell ref="Q3:T3"/>
    <mergeCell ref="X3:AA3"/>
    <mergeCell ref="AE3:AG3"/>
  </mergeCells>
  <pageMargins left="0.25" right="0.25" top="0.75" bottom="0.75" header="0.3" footer="0.3"/>
  <pageSetup scale="36"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A7025-403D-43FB-B426-EB6A66FFCDA2}">
  <sheetPr codeName="Sheet19">
    <tabColor rgb="FFFFFFFF"/>
    <pageSetUpPr fitToPage="1"/>
  </sheetPr>
  <dimension ref="B1:H66"/>
  <sheetViews>
    <sheetView topLeftCell="A40" zoomScale="70" zoomScaleNormal="70" zoomScaleSheetLayoutView="70" workbookViewId="0">
      <selection activeCell="B54" sqref="B54"/>
    </sheetView>
  </sheetViews>
  <sheetFormatPr defaultColWidth="9.1328125" defaultRowHeight="16.75"/>
  <cols>
    <col min="1" max="1" width="9.1328125" style="51"/>
    <col min="2" max="2" width="199.1328125" style="211" customWidth="1"/>
    <col min="3" max="3" width="10.86328125" style="51" customWidth="1"/>
    <col min="4" max="16384" width="9.1328125" style="51"/>
  </cols>
  <sheetData>
    <row r="1" spans="2:8" ht="18">
      <c r="B1" s="209" t="s">
        <v>269</v>
      </c>
      <c r="C1" s="92"/>
      <c r="D1" s="92"/>
      <c r="E1" s="92"/>
      <c r="F1" s="92"/>
      <c r="G1" s="92"/>
      <c r="H1" s="92"/>
    </row>
    <row r="3" spans="2:8" ht="159" customHeight="1">
      <c r="B3" s="208" t="s">
        <v>270</v>
      </c>
    </row>
    <row r="4" spans="2:8" ht="33.5">
      <c r="B4" s="208" t="s">
        <v>271</v>
      </c>
    </row>
    <row r="5" spans="2:8" ht="33.5">
      <c r="B5" s="208" t="s">
        <v>272</v>
      </c>
    </row>
    <row r="6" spans="2:8">
      <c r="B6" s="208" t="s">
        <v>273</v>
      </c>
    </row>
    <row r="7" spans="2:8" ht="33.5">
      <c r="B7" s="208" t="s">
        <v>274</v>
      </c>
    </row>
    <row r="8" spans="2:8">
      <c r="B8" s="208" t="s">
        <v>275</v>
      </c>
    </row>
    <row r="9" spans="2:8">
      <c r="B9" s="208"/>
    </row>
    <row r="10" spans="2:8" ht="101.25" customHeight="1">
      <c r="B10" s="208" t="s">
        <v>276</v>
      </c>
    </row>
    <row r="11" spans="2:8">
      <c r="B11" s="283"/>
    </row>
    <row r="12" spans="2:8">
      <c r="B12" s="208" t="s">
        <v>277</v>
      </c>
    </row>
    <row r="13" spans="2:8" ht="117.25">
      <c r="B13" s="208" t="s">
        <v>278</v>
      </c>
    </row>
    <row r="14" spans="2:8" ht="67">
      <c r="B14" s="208" t="s">
        <v>279</v>
      </c>
    </row>
    <row r="15" spans="2:8" ht="117.25">
      <c r="B15" s="208" t="s">
        <v>280</v>
      </c>
    </row>
    <row r="16" spans="2:8" ht="100.5">
      <c r="B16" s="208" t="s">
        <v>281</v>
      </c>
    </row>
    <row r="17" spans="2:3" ht="150.75">
      <c r="B17" s="208" t="s">
        <v>282</v>
      </c>
    </row>
    <row r="18" spans="2:3" ht="39.75" customHeight="1">
      <c r="B18" s="208" t="s">
        <v>283</v>
      </c>
    </row>
    <row r="19" spans="2:3" ht="166.5" customHeight="1">
      <c r="B19" s="208" t="s">
        <v>284</v>
      </c>
    </row>
    <row r="20" spans="2:3" ht="116.25" customHeight="1">
      <c r="B20" s="208" t="s">
        <v>285</v>
      </c>
    </row>
    <row r="21" spans="2:3" ht="83.75">
      <c r="B21" s="208" t="s">
        <v>286</v>
      </c>
    </row>
    <row r="22" spans="2:3" ht="143.25" customHeight="1">
      <c r="B22" s="210" t="s">
        <v>304</v>
      </c>
    </row>
    <row r="23" spans="2:3" ht="50.25">
      <c r="B23" s="208" t="s">
        <v>287</v>
      </c>
    </row>
    <row r="24" spans="2:3" ht="54.75" customHeight="1">
      <c r="B24" s="208" t="s">
        <v>288</v>
      </c>
    </row>
    <row r="25" spans="2:3" ht="169.5" customHeight="1">
      <c r="B25" s="208" t="s">
        <v>305</v>
      </c>
    </row>
    <row r="26" spans="2:3" ht="55.5" customHeight="1">
      <c r="B26" s="210" t="s">
        <v>289</v>
      </c>
    </row>
    <row r="27" spans="2:3" ht="62.25" customHeight="1">
      <c r="B27" s="210" t="s">
        <v>290</v>
      </c>
    </row>
    <row r="28" spans="2:3" ht="8.25" customHeight="1"/>
    <row r="29" spans="2:3" ht="8.25" customHeight="1"/>
    <row r="30" spans="2:3" ht="167.5">
      <c r="B30" s="282" t="s">
        <v>321</v>
      </c>
      <c r="C30" s="208"/>
    </row>
    <row r="31" spans="2:3">
      <c r="B31" s="208"/>
    </row>
    <row r="32" spans="2:3">
      <c r="B32" s="20" t="s">
        <v>291</v>
      </c>
    </row>
    <row r="33" spans="2:2" ht="31.5" customHeight="1">
      <c r="B33" s="208" t="s">
        <v>292</v>
      </c>
    </row>
    <row r="34" spans="2:2" ht="39" customHeight="1">
      <c r="B34" s="211" t="s">
        <v>293</v>
      </c>
    </row>
    <row r="35" spans="2:2">
      <c r="B35" s="208"/>
    </row>
    <row r="36" spans="2:2" ht="30.95" customHeight="1">
      <c r="B36" s="208" t="s">
        <v>294</v>
      </c>
    </row>
    <row r="37" spans="2:2" ht="35.25" customHeight="1">
      <c r="B37" s="208" t="s">
        <v>295</v>
      </c>
    </row>
    <row r="38" spans="2:2" ht="38.450000000000003" customHeight="1">
      <c r="B38" s="208" t="s">
        <v>296</v>
      </c>
    </row>
    <row r="39" spans="2:2" ht="15.75" customHeight="1">
      <c r="B39" s="208"/>
    </row>
    <row r="40" spans="2:2" ht="85.7" customHeight="1">
      <c r="B40" s="208" t="s">
        <v>336</v>
      </c>
    </row>
    <row r="41" spans="2:2" ht="15.2" customHeight="1">
      <c r="B41" s="208"/>
    </row>
    <row r="42" spans="2:2" ht="50.45" customHeight="1">
      <c r="B42" s="208" t="s">
        <v>313</v>
      </c>
    </row>
    <row r="43" spans="2:2" ht="6.75" customHeight="1">
      <c r="B43" s="208"/>
    </row>
    <row r="44" spans="2:2" ht="30" customHeight="1">
      <c r="B44" s="208" t="s">
        <v>314</v>
      </c>
    </row>
    <row r="45" spans="2:2" ht="15.75" customHeight="1"/>
    <row r="46" spans="2:2" ht="167.75">
      <c r="B46" s="304" t="s">
        <v>343</v>
      </c>
    </row>
    <row r="47" spans="2:2" ht="15.75" customHeight="1"/>
    <row r="48" spans="2:2" ht="134">
      <c r="B48" s="208" t="s">
        <v>322</v>
      </c>
    </row>
    <row r="49" spans="2:2" ht="11.25" customHeight="1">
      <c r="B49" s="208"/>
    </row>
    <row r="50" spans="2:2" ht="33.5">
      <c r="B50" s="208" t="s">
        <v>330</v>
      </c>
    </row>
    <row r="51" spans="2:2">
      <c r="B51" s="208"/>
    </row>
    <row r="52" spans="2:2" ht="34.5" customHeight="1">
      <c r="B52" s="208" t="s">
        <v>331</v>
      </c>
    </row>
    <row r="54" spans="2:2" ht="36" customHeight="1">
      <c r="B54" s="208" t="s">
        <v>332</v>
      </c>
    </row>
    <row r="55" spans="2:2">
      <c r="B55" s="208"/>
    </row>
    <row r="56" spans="2:2">
      <c r="B56" s="20" t="s">
        <v>174</v>
      </c>
    </row>
    <row r="57" spans="2:2" ht="100.5">
      <c r="B57" s="208" t="s">
        <v>297</v>
      </c>
    </row>
    <row r="58" spans="2:2">
      <c r="B58" s="208"/>
    </row>
    <row r="59" spans="2:2">
      <c r="B59" s="20" t="s">
        <v>298</v>
      </c>
    </row>
    <row r="60" spans="2:2" ht="67">
      <c r="B60" s="208" t="s">
        <v>299</v>
      </c>
    </row>
    <row r="62" spans="2:2">
      <c r="B62" s="20" t="s">
        <v>300</v>
      </c>
    </row>
    <row r="63" spans="2:2" ht="33.5">
      <c r="B63" s="208" t="s">
        <v>301</v>
      </c>
    </row>
    <row r="64" spans="2:2">
      <c r="B64" s="208"/>
    </row>
    <row r="65" spans="2:2">
      <c r="B65" s="20" t="s">
        <v>302</v>
      </c>
    </row>
    <row r="66" spans="2:2" ht="294" customHeight="1">
      <c r="B66" s="213" t="s">
        <v>303</v>
      </c>
    </row>
  </sheetData>
  <conditionalFormatting sqref="B30">
    <cfRule type="duplicateValues" dxfId="0" priority="1"/>
  </conditionalFormatting>
  <pageMargins left="0.25" right="0.25" top="0.75" bottom="0.75" header="0.3" footer="0.3"/>
  <pageSetup scale="20" orientation="landscape" r:id="rId1"/>
  <rowBreaks count="1" manualBreakCount="1">
    <brk id="17" min="1" max="1" man="1"/>
  </rowBreaks>
  <colBreaks count="1" manualBreakCount="1">
    <brk id="2"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5F8DC-DB9B-4537-9E61-3AB0C06DB8DB}">
  <sheetPr>
    <tabColor rgb="FF0079FF"/>
  </sheetPr>
  <dimension ref="A1:D14"/>
  <sheetViews>
    <sheetView zoomScale="70" zoomScaleNormal="70" workbookViewId="0"/>
  </sheetViews>
  <sheetFormatPr defaultRowHeight="14.75"/>
  <cols>
    <col min="1" max="1" width="92.86328125" customWidth="1"/>
    <col min="2" max="2" width="22.26953125" customWidth="1"/>
  </cols>
  <sheetData>
    <row r="1" spans="1:4" ht="18">
      <c r="A1" s="5" t="s">
        <v>329</v>
      </c>
    </row>
    <row r="2" spans="1:4" ht="15.5" thickBot="1"/>
    <row r="3" spans="1:4" ht="19.25">
      <c r="A3" s="256" t="s">
        <v>18</v>
      </c>
      <c r="B3" s="297"/>
    </row>
    <row r="4" spans="1:4">
      <c r="A4" s="258"/>
      <c r="B4" s="298"/>
    </row>
    <row r="5" spans="1:4" ht="15.5" thickBot="1">
      <c r="A5" s="257" t="s">
        <v>24</v>
      </c>
      <c r="B5" s="241"/>
    </row>
    <row r="6" spans="1:4" ht="17.5" thickBot="1">
      <c r="A6" s="299" t="s">
        <v>344</v>
      </c>
      <c r="B6" s="300"/>
    </row>
    <row r="7" spans="1:4" ht="17.25" customHeight="1" thickBot="1">
      <c r="A7" s="299" t="s">
        <v>333</v>
      </c>
      <c r="B7" s="302"/>
    </row>
    <row r="8" spans="1:4" ht="17.5" thickBot="1">
      <c r="A8" s="26" t="s">
        <v>326</v>
      </c>
      <c r="B8" s="301"/>
    </row>
    <row r="9" spans="1:4" ht="16.5" customHeight="1" thickBot="1">
      <c r="A9" s="299" t="s">
        <v>339</v>
      </c>
      <c r="B9" s="305"/>
    </row>
    <row r="10" spans="1:4" ht="17.5" thickBot="1">
      <c r="A10" s="46" t="s">
        <v>327</v>
      </c>
      <c r="B10" s="301"/>
    </row>
    <row r="11" spans="1:4" ht="17.5" thickBot="1">
      <c r="A11" s="26" t="s">
        <v>328</v>
      </c>
      <c r="B11" s="303"/>
    </row>
    <row r="14" spans="1:4" ht="46.5">
      <c r="A14" s="306" t="s">
        <v>341</v>
      </c>
      <c r="B14" s="306"/>
      <c r="C14" s="306"/>
      <c r="D14" s="306"/>
    </row>
  </sheetData>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0DCC9-DACE-45DE-B131-436C186BCDC3}">
  <sheetPr codeName="Sheet3">
    <tabColor rgb="FF0079FF"/>
    <pageSetUpPr fitToPage="1"/>
  </sheetPr>
  <dimension ref="A1:BO37"/>
  <sheetViews>
    <sheetView showGridLines="0" zoomScale="70" zoomScaleNormal="70" zoomScaleSheetLayoutView="85" workbookViewId="0">
      <pane xSplit="2" ySplit="5" topLeftCell="AV6" activePane="bottomRight" state="frozen"/>
      <selection pane="topRight" activeCell="C1" sqref="C1"/>
      <selection pane="bottomLeft" activeCell="A6" sqref="A6"/>
      <selection pane="bottomRight" activeCell="A3" sqref="A3:BH30"/>
    </sheetView>
  </sheetViews>
  <sheetFormatPr defaultColWidth="9.1328125" defaultRowHeight="14.25" outlineLevelCol="1"/>
  <cols>
    <col min="1" max="1" width="11.40625" style="7" customWidth="1"/>
    <col min="2" max="2" width="91.86328125" style="7" customWidth="1"/>
    <col min="3" max="3" width="1.40625" style="7" customWidth="1"/>
    <col min="4" max="4" width="15.40625" style="7" hidden="1" customWidth="1" outlineLevel="1"/>
    <col min="5" max="5" width="17.86328125" style="7" hidden="1" customWidth="1" outlineLevel="1"/>
    <col min="6" max="6" width="15.40625" style="7" hidden="1" customWidth="1" outlineLevel="1"/>
    <col min="7" max="11" width="17.86328125" style="7" hidden="1" customWidth="1" outlineLevel="1"/>
    <col min="12" max="12" width="2.1328125" style="7" hidden="1" customWidth="1" outlineLevel="1"/>
    <col min="13" max="13" width="15.40625" style="7" customWidth="1" collapsed="1"/>
    <col min="14" max="14" width="17.86328125" style="7" customWidth="1"/>
    <col min="15" max="15" width="1.40625" style="7" customWidth="1"/>
    <col min="16" max="23" width="15.40625" style="7" hidden="1" customWidth="1" outlineLevel="1"/>
    <col min="24" max="24" width="1.40625" style="7" hidden="1" customWidth="1" outlineLevel="1"/>
    <col min="25" max="25" width="15.40625" style="7" customWidth="1" collapsed="1"/>
    <col min="26" max="26" width="17.86328125" style="7" customWidth="1"/>
    <col min="27" max="27" width="1.40625" style="7" customWidth="1"/>
    <col min="28" max="35" width="16.40625" style="7" hidden="1" customWidth="1" outlineLevel="1"/>
    <col min="36" max="36" width="1.40625" style="7" hidden="1" customWidth="1" outlineLevel="1"/>
    <col min="37" max="37" width="16.40625" style="7" customWidth="1" collapsed="1"/>
    <col min="38" max="38" width="16.40625" style="7" customWidth="1"/>
    <col min="39" max="39" width="3.40625" style="7" customWidth="1"/>
    <col min="40" max="45" width="16.1328125" style="7" customWidth="1"/>
    <col min="46" max="47" width="13.40625" style="7" customWidth="1"/>
    <col min="48" max="48" width="3" style="7" customWidth="1"/>
    <col min="49" max="50" width="16.40625" style="7" customWidth="1"/>
    <col min="51" max="51" width="3.40625" style="7" customWidth="1"/>
    <col min="52" max="57" width="18.40625" style="7" customWidth="1"/>
    <col min="58" max="58" width="3" style="7" customWidth="1"/>
    <col min="59" max="60" width="18.40625" style="7" customWidth="1"/>
    <col min="61" max="61" width="3" style="7" customWidth="1"/>
    <col min="62" max="62" width="45.86328125" style="7" bestFit="1" customWidth="1"/>
    <col min="63" max="63" width="12" style="7" bestFit="1" customWidth="1"/>
    <col min="64" max="16384" width="9.1328125" style="7"/>
  </cols>
  <sheetData>
    <row r="1" spans="1:67" ht="18">
      <c r="A1" s="5" t="s">
        <v>2</v>
      </c>
      <c r="B1" s="6"/>
    </row>
    <row r="2" spans="1:67" ht="15" thickBot="1"/>
    <row r="3" spans="1:67" s="8" customFormat="1" ht="19.149999999999999" customHeight="1" thickBot="1">
      <c r="A3" s="336" t="s">
        <v>18</v>
      </c>
      <c r="B3" s="337"/>
      <c r="D3" s="307" t="s">
        <v>19</v>
      </c>
      <c r="E3" s="308"/>
      <c r="F3" s="308"/>
      <c r="G3" s="308"/>
      <c r="H3" s="308"/>
      <c r="I3" s="308"/>
      <c r="J3" s="308"/>
      <c r="K3" s="309"/>
      <c r="L3" s="167"/>
      <c r="M3" s="307" t="s">
        <v>20</v>
      </c>
      <c r="N3" s="309"/>
      <c r="P3" s="307" t="s">
        <v>19</v>
      </c>
      <c r="Q3" s="308"/>
      <c r="R3" s="308"/>
      <c r="S3" s="308"/>
      <c r="T3" s="308"/>
      <c r="U3" s="308"/>
      <c r="V3" s="308"/>
      <c r="W3" s="309"/>
      <c r="Y3" s="307" t="s">
        <v>20</v>
      </c>
      <c r="Z3" s="309"/>
      <c r="AB3" s="307" t="s">
        <v>19</v>
      </c>
      <c r="AC3" s="308"/>
      <c r="AD3" s="308"/>
      <c r="AE3" s="308"/>
      <c r="AF3" s="308"/>
      <c r="AG3" s="308"/>
      <c r="AH3" s="308"/>
      <c r="AI3" s="309"/>
      <c r="AK3" s="307" t="s">
        <v>20</v>
      </c>
      <c r="AL3" s="309"/>
      <c r="AN3" s="307" t="s">
        <v>21</v>
      </c>
      <c r="AO3" s="308"/>
      <c r="AP3" s="308"/>
      <c r="AQ3" s="308"/>
      <c r="AR3" s="308"/>
      <c r="AS3" s="308"/>
      <c r="AT3" s="308"/>
      <c r="AU3" s="309"/>
      <c r="AW3" s="307" t="s">
        <v>22</v>
      </c>
      <c r="AX3" s="309"/>
      <c r="AZ3" s="307" t="s">
        <v>21</v>
      </c>
      <c r="BA3" s="308"/>
      <c r="BB3" s="308"/>
      <c r="BC3" s="308"/>
      <c r="BD3" s="308"/>
      <c r="BE3" s="309"/>
      <c r="BG3" s="307" t="s">
        <v>318</v>
      </c>
      <c r="BH3" s="309"/>
      <c r="BJ3" s="331" t="s">
        <v>28</v>
      </c>
    </row>
    <row r="4" spans="1:67" s="8" customFormat="1" ht="18.75" customHeight="1" thickBot="1">
      <c r="A4" s="334"/>
      <c r="B4" s="335"/>
      <c r="D4" s="317">
        <v>43951</v>
      </c>
      <c r="E4" s="318"/>
      <c r="F4" s="328">
        <v>44043</v>
      </c>
      <c r="G4" s="318"/>
      <c r="H4" s="328">
        <v>44135</v>
      </c>
      <c r="I4" s="318"/>
      <c r="J4" s="328">
        <v>44227</v>
      </c>
      <c r="K4" s="318"/>
      <c r="L4" s="169"/>
      <c r="M4" s="317">
        <v>44227</v>
      </c>
      <c r="N4" s="318"/>
      <c r="P4" s="328">
        <v>44316</v>
      </c>
      <c r="Q4" s="318"/>
      <c r="R4" s="328">
        <v>44408</v>
      </c>
      <c r="S4" s="318"/>
      <c r="T4" s="328">
        <v>44500</v>
      </c>
      <c r="U4" s="318"/>
      <c r="V4" s="328">
        <v>44592</v>
      </c>
      <c r="W4" s="318"/>
      <c r="Y4" s="317">
        <v>44592</v>
      </c>
      <c r="Z4" s="318"/>
      <c r="AB4" s="328">
        <v>44681</v>
      </c>
      <c r="AC4" s="318"/>
      <c r="AD4" s="328">
        <v>44773</v>
      </c>
      <c r="AE4" s="318"/>
      <c r="AF4" s="328">
        <v>44865</v>
      </c>
      <c r="AG4" s="318"/>
      <c r="AH4" s="328">
        <v>44957</v>
      </c>
      <c r="AI4" s="318"/>
      <c r="AK4" s="328">
        <v>44957</v>
      </c>
      <c r="AL4" s="318"/>
      <c r="AN4" s="328" t="s">
        <v>23</v>
      </c>
      <c r="AO4" s="318"/>
      <c r="AP4" s="328">
        <v>45138</v>
      </c>
      <c r="AQ4" s="318"/>
      <c r="AR4" s="328">
        <v>45230</v>
      </c>
      <c r="AS4" s="318"/>
      <c r="AT4" s="328">
        <v>45322</v>
      </c>
      <c r="AU4" s="318"/>
      <c r="AV4"/>
      <c r="AW4" s="328">
        <v>45322</v>
      </c>
      <c r="AX4" s="318"/>
      <c r="AZ4" s="329">
        <v>45412</v>
      </c>
      <c r="BA4" s="330"/>
      <c r="BB4" s="329">
        <v>45504</v>
      </c>
      <c r="BC4" s="338"/>
      <c r="BD4" s="329">
        <v>45596</v>
      </c>
      <c r="BE4" s="338"/>
      <c r="BF4"/>
      <c r="BG4" s="329">
        <v>45596</v>
      </c>
      <c r="BH4" s="338"/>
      <c r="BI4"/>
      <c r="BJ4" s="332"/>
      <c r="BK4" s="8" t="s">
        <v>29</v>
      </c>
    </row>
    <row r="5" spans="1:67" s="8" customFormat="1" ht="42" customHeight="1" thickBot="1">
      <c r="A5" s="323" t="s">
        <v>317</v>
      </c>
      <c r="B5" s="324"/>
      <c r="D5" s="170" t="s">
        <v>30</v>
      </c>
      <c r="E5" s="11" t="s">
        <v>31</v>
      </c>
      <c r="F5" s="10" t="s">
        <v>30</v>
      </c>
      <c r="G5" s="11" t="s">
        <v>31</v>
      </c>
      <c r="H5" s="10" t="s">
        <v>30</v>
      </c>
      <c r="I5" s="11" t="s">
        <v>31</v>
      </c>
      <c r="J5" s="10" t="s">
        <v>30</v>
      </c>
      <c r="K5" s="11" t="s">
        <v>31</v>
      </c>
      <c r="L5" s="168"/>
      <c r="M5" s="170" t="s">
        <v>30</v>
      </c>
      <c r="N5" s="11" t="s">
        <v>31</v>
      </c>
      <c r="P5" s="9" t="s">
        <v>30</v>
      </c>
      <c r="Q5" s="11" t="s">
        <v>31</v>
      </c>
      <c r="R5" s="9" t="s">
        <v>30</v>
      </c>
      <c r="S5" s="11" t="s">
        <v>31</v>
      </c>
      <c r="T5" s="9" t="s">
        <v>30</v>
      </c>
      <c r="U5" s="11" t="s">
        <v>31</v>
      </c>
      <c r="V5" s="9" t="s">
        <v>30</v>
      </c>
      <c r="W5" s="11" t="s">
        <v>31</v>
      </c>
      <c r="Y5" s="170" t="s">
        <v>30</v>
      </c>
      <c r="Z5" s="11" t="s">
        <v>31</v>
      </c>
      <c r="AB5" s="9" t="s">
        <v>30</v>
      </c>
      <c r="AC5" s="11" t="s">
        <v>31</v>
      </c>
      <c r="AD5" s="9" t="s">
        <v>30</v>
      </c>
      <c r="AE5" s="11" t="s">
        <v>31</v>
      </c>
      <c r="AF5" s="9" t="s">
        <v>30</v>
      </c>
      <c r="AG5" s="11" t="s">
        <v>31</v>
      </c>
      <c r="AH5" s="9" t="s">
        <v>30</v>
      </c>
      <c r="AI5" s="11" t="s">
        <v>31</v>
      </c>
      <c r="AK5" s="9" t="s">
        <v>30</v>
      </c>
      <c r="AL5" s="11" t="s">
        <v>31</v>
      </c>
      <c r="AN5" s="9" t="s">
        <v>30</v>
      </c>
      <c r="AO5" s="11" t="s">
        <v>31</v>
      </c>
      <c r="AP5" s="9" t="s">
        <v>30</v>
      </c>
      <c r="AQ5" s="11" t="s">
        <v>31</v>
      </c>
      <c r="AR5" s="9" t="s">
        <v>30</v>
      </c>
      <c r="AS5" s="11" t="s">
        <v>31</v>
      </c>
      <c r="AT5" s="266" t="s">
        <v>30</v>
      </c>
      <c r="AU5" s="11" t="s">
        <v>31</v>
      </c>
      <c r="AV5"/>
      <c r="AW5" s="9" t="s">
        <v>30</v>
      </c>
      <c r="AX5" s="11" t="s">
        <v>31</v>
      </c>
      <c r="AZ5" s="266" t="s">
        <v>30</v>
      </c>
      <c r="BA5" s="11" t="s">
        <v>31</v>
      </c>
      <c r="BB5" s="266" t="s">
        <v>30</v>
      </c>
      <c r="BC5" s="11" t="s">
        <v>31</v>
      </c>
      <c r="BD5" s="266" t="s">
        <v>30</v>
      </c>
      <c r="BE5" s="11" t="s">
        <v>31</v>
      </c>
      <c r="BF5"/>
      <c r="BG5" s="266" t="s">
        <v>30</v>
      </c>
      <c r="BH5" s="11" t="s">
        <v>31</v>
      </c>
      <c r="BI5"/>
      <c r="BJ5" s="333"/>
    </row>
    <row r="6" spans="1:67" ht="17.5" thickBot="1">
      <c r="A6" s="314" t="s">
        <v>32</v>
      </c>
      <c r="B6" s="12" t="s">
        <v>33</v>
      </c>
      <c r="D6" s="171">
        <v>129.07</v>
      </c>
      <c r="E6" s="13">
        <v>132.33199999999999</v>
      </c>
      <c r="F6" s="13">
        <v>139.267</v>
      </c>
      <c r="G6" s="172">
        <v>142.333</v>
      </c>
      <c r="H6" s="13">
        <v>150.233</v>
      </c>
      <c r="I6" s="172">
        <v>152.45999999999998</v>
      </c>
      <c r="J6" s="13">
        <v>157.054</v>
      </c>
      <c r="K6" s="172">
        <v>158.83499999999998</v>
      </c>
      <c r="L6" s="21"/>
      <c r="M6" s="171">
        <v>575.62400000000002</v>
      </c>
      <c r="N6" s="172">
        <v>585.96</v>
      </c>
      <c r="O6" s="14"/>
      <c r="P6" s="13">
        <v>144.453</v>
      </c>
      <c r="Q6" s="13">
        <v>145.49200000000002</v>
      </c>
      <c r="R6" s="13">
        <v>156.178</v>
      </c>
      <c r="S6" s="13">
        <v>157.191</v>
      </c>
      <c r="T6" s="13">
        <v>158.81100000000001</v>
      </c>
      <c r="U6" s="13">
        <v>160.91899999999998</v>
      </c>
      <c r="V6" s="13">
        <v>173.68700000000001</v>
      </c>
      <c r="W6" s="13">
        <v>175.69800000000001</v>
      </c>
      <c r="X6" s="14"/>
      <c r="Y6" s="171">
        <v>633.12900000000002</v>
      </c>
      <c r="Z6" s="172">
        <v>639.29999999999995</v>
      </c>
      <c r="AA6" s="14"/>
      <c r="AB6" s="13">
        <v>159.36699999999999</v>
      </c>
      <c r="AC6" s="13">
        <v>160.70999999999998</v>
      </c>
      <c r="AD6" s="13">
        <v>166.44</v>
      </c>
      <c r="AE6" s="13">
        <v>167.172</v>
      </c>
      <c r="AF6" s="13">
        <v>174.22200000000001</v>
      </c>
      <c r="AG6" s="13">
        <v>174.64500000000001</v>
      </c>
      <c r="AH6" s="13">
        <v>185.50799999999998</v>
      </c>
      <c r="AI6" s="13">
        <v>186.012</v>
      </c>
      <c r="AJ6" s="14"/>
      <c r="AK6" s="13">
        <v>685.53699999999992</v>
      </c>
      <c r="AL6" s="13">
        <v>688.53899999999999</v>
      </c>
      <c r="AM6" s="14"/>
      <c r="AN6" s="13">
        <f>'Recurring Summary'!AN6</f>
        <v>166.43900000000002</v>
      </c>
      <c r="AO6" s="13">
        <f>'Recurring Summary'!AO6</f>
        <v>167.06599999999997</v>
      </c>
      <c r="AP6" s="13">
        <f>'Recurring Summary'!AP6</f>
        <v>160.999</v>
      </c>
      <c r="AQ6" s="13">
        <f>'Recurring Summary'!AQ6</f>
        <v>161.24099999999999</v>
      </c>
      <c r="AR6" s="13">
        <f>'Recurring Summary'!AR6</f>
        <v>161.11700000000002</v>
      </c>
      <c r="AS6" s="13">
        <f>'Recurring Summary'!AS6</f>
        <v>161.23699999999999</v>
      </c>
      <c r="AT6" s="13">
        <f>'Recurring Summary'!AT6</f>
        <v>210.69299999999998</v>
      </c>
      <c r="AU6" s="13">
        <f>'Recurring Summary'!AU6</f>
        <v>210.80400000000003</v>
      </c>
      <c r="AV6"/>
      <c r="AW6" s="13">
        <f>'Recurring Summary'!AW6</f>
        <v>699.24799999999993</v>
      </c>
      <c r="AX6" s="13">
        <f>'Recurring Summary'!AX6</f>
        <v>700.34799999999996</v>
      </c>
      <c r="AY6" s="14"/>
      <c r="AZ6" s="13">
        <f>'Recurring Summary'!AZ6</f>
        <v>173.52800000000002</v>
      </c>
      <c r="BA6" s="13">
        <f>'Recurring Summary'!BA6</f>
        <v>173.52800000000002</v>
      </c>
      <c r="BB6" s="13">
        <f>'Recurring Summary'!BB6</f>
        <v>163.22900000000001</v>
      </c>
      <c r="BC6" s="13">
        <f>'Recurring Summary'!BC6</f>
        <v>163.22900000000001</v>
      </c>
      <c r="BD6" s="13">
        <f>'Recurring Summary'!BD6</f>
        <v>179.85799999999998</v>
      </c>
      <c r="BE6" s="13">
        <f>'Recurring Summary'!BE6</f>
        <v>179.85799999999998</v>
      </c>
      <c r="BF6"/>
      <c r="BG6" s="13">
        <f>'Recurring Summary'!BG6</f>
        <v>516.61500000000001</v>
      </c>
      <c r="BH6" s="13">
        <f>'Recurring Summary'!BH6</f>
        <v>516.61500000000001</v>
      </c>
      <c r="BI6"/>
      <c r="BJ6" s="325" t="s">
        <v>34</v>
      </c>
      <c r="BK6" s="14"/>
      <c r="BL6" s="14"/>
      <c r="BM6" s="14"/>
      <c r="BN6" s="14"/>
      <c r="BO6" s="14"/>
    </row>
    <row r="7" spans="1:67" ht="17.5" thickBot="1">
      <c r="A7" s="314"/>
      <c r="B7" s="12" t="s">
        <v>35</v>
      </c>
      <c r="C7" s="14"/>
      <c r="D7" s="171">
        <v>56.795000000000002</v>
      </c>
      <c r="E7" s="13">
        <v>56.795000000000002</v>
      </c>
      <c r="F7" s="13">
        <v>64.813000000000002</v>
      </c>
      <c r="G7" s="172">
        <v>64.813000000000002</v>
      </c>
      <c r="H7" s="13">
        <v>64.989000000000004</v>
      </c>
      <c r="I7" s="172">
        <v>64.989000000000004</v>
      </c>
      <c r="J7" s="13">
        <v>68.025999999999996</v>
      </c>
      <c r="K7" s="172">
        <v>68.025999999999996</v>
      </c>
      <c r="L7" s="21"/>
      <c r="M7" s="171">
        <v>254.62300000000002</v>
      </c>
      <c r="N7" s="172">
        <v>254.62300000000002</v>
      </c>
      <c r="O7" s="14"/>
      <c r="P7" s="13">
        <v>56.451000000000001</v>
      </c>
      <c r="Q7" s="13">
        <v>56.451000000000001</v>
      </c>
      <c r="R7" s="13">
        <v>58.438999999999993</v>
      </c>
      <c r="S7" s="13">
        <v>58.438999999999993</v>
      </c>
      <c r="T7" s="13">
        <v>66.009</v>
      </c>
      <c r="U7" s="13">
        <v>66.009</v>
      </c>
      <c r="V7" s="13">
        <v>60.480999999999995</v>
      </c>
      <c r="W7" s="13">
        <v>60.480999999999995</v>
      </c>
      <c r="X7" s="14"/>
      <c r="Y7" s="171">
        <v>241.38</v>
      </c>
      <c r="Z7" s="172">
        <v>241.38</v>
      </c>
      <c r="AA7" s="14"/>
      <c r="AB7" s="13">
        <v>58.539000000000001</v>
      </c>
      <c r="AC7" s="13">
        <v>58.539000000000001</v>
      </c>
      <c r="AD7" s="13">
        <v>56.459000000000003</v>
      </c>
      <c r="AE7" s="13">
        <v>56.459000000000003</v>
      </c>
      <c r="AF7" s="13">
        <v>50.971000000000004</v>
      </c>
      <c r="AG7" s="13">
        <v>50.971000000000004</v>
      </c>
      <c r="AH7" s="13">
        <v>50.739000000000004</v>
      </c>
      <c r="AI7" s="13">
        <v>50.739000000000004</v>
      </c>
      <c r="AJ7" s="14"/>
      <c r="AK7" s="13">
        <v>216.70800000000003</v>
      </c>
      <c r="AL7" s="13">
        <v>216.70800000000003</v>
      </c>
      <c r="AM7" s="14"/>
      <c r="AN7" s="13">
        <f>'Nonrecurring Summary'!AN6</f>
        <v>50.126999999999995</v>
      </c>
      <c r="AO7" s="13">
        <f>'Nonrecurring Summary'!AO6</f>
        <v>50.126999999999995</v>
      </c>
      <c r="AP7" s="13">
        <f>'Nonrecurring Summary'!AP6</f>
        <v>49.165999999999997</v>
      </c>
      <c r="AQ7" s="13">
        <f>'Nonrecurring Summary'!AQ6</f>
        <v>49.165999999999997</v>
      </c>
      <c r="AR7" s="13">
        <f>'Nonrecurring Summary'!AR6</f>
        <v>57.429999999999993</v>
      </c>
      <c r="AS7" s="13">
        <f>'Nonrecurring Summary'!AS6</f>
        <v>57.429999999999993</v>
      </c>
      <c r="AT7" s="13">
        <f>'Nonrecurring Summary'!AT6</f>
        <v>54.415999999999997</v>
      </c>
      <c r="AU7" s="13">
        <f>'Nonrecurring Summary'!AU6</f>
        <v>54.415999999999997</v>
      </c>
      <c r="AV7" s="14"/>
      <c r="AW7" s="13">
        <f>'Nonrecurring Summary'!AW6</f>
        <v>211.13900000000001</v>
      </c>
      <c r="AX7" s="13">
        <f>'Nonrecurring Summary'!AX6</f>
        <v>211.13900000000001</v>
      </c>
      <c r="AY7" s="14"/>
      <c r="AZ7" s="13">
        <f>'Nonrecurring Summary'!AZ6</f>
        <v>47.748999999999995</v>
      </c>
      <c r="BA7" s="13">
        <f>'Nonrecurring Summary'!BA6</f>
        <v>47.748999999999995</v>
      </c>
      <c r="BB7" s="13">
        <f>'Nonrecurring Summary'!BB6</f>
        <v>46.941000000000003</v>
      </c>
      <c r="BC7" s="13">
        <f>'Nonrecurring Summary'!BC6</f>
        <v>46.941000000000003</v>
      </c>
      <c r="BD7" s="13">
        <f>'Nonrecurring Summary'!BD6</f>
        <v>44.335000000000001</v>
      </c>
      <c r="BE7" s="13">
        <f>'Nonrecurring Summary'!BE6</f>
        <v>44.335000000000001</v>
      </c>
      <c r="BF7" s="14"/>
      <c r="BG7" s="13">
        <f>'Nonrecurring Summary'!BG6</f>
        <v>139.02500000000001</v>
      </c>
      <c r="BH7" s="13">
        <f>'Nonrecurring Summary'!BH6</f>
        <v>139.02500000000001</v>
      </c>
      <c r="BI7" s="14"/>
      <c r="BJ7" s="326"/>
      <c r="BK7" s="14"/>
      <c r="BL7" s="14"/>
      <c r="BM7" s="14"/>
      <c r="BN7" s="14"/>
      <c r="BO7" s="14"/>
    </row>
    <row r="8" spans="1:67" ht="17.5" thickBot="1">
      <c r="A8" s="314"/>
      <c r="B8" s="12" t="s">
        <v>36</v>
      </c>
      <c r="C8" s="14"/>
      <c r="D8" s="171">
        <f>+'Revenue Metrics Reconciliation'!C13</f>
        <v>185.86500000000001</v>
      </c>
      <c r="E8" s="13">
        <f>+'Revenue Metrics Reconciliation'!C31</f>
        <v>189.12700000000001</v>
      </c>
      <c r="F8" s="13">
        <f>+'Revenue Metrics Reconciliation'!D13</f>
        <v>204.07999999999998</v>
      </c>
      <c r="G8" s="172">
        <f>+'Revenue Metrics Reconciliation'!D31</f>
        <v>207.14600000000002</v>
      </c>
      <c r="H8" s="13">
        <f>+'Revenue Metrics Reconciliation'!E13</f>
        <v>215.22200000000001</v>
      </c>
      <c r="I8" s="172">
        <f>+'Revenue Metrics Reconciliation'!E31</f>
        <v>217.44900000000001</v>
      </c>
      <c r="J8" s="13">
        <f>+'Revenue Metrics Reconciliation'!F13</f>
        <v>225.08000000000004</v>
      </c>
      <c r="K8" s="172">
        <f>+'Revenue Metrics Reconciliation'!F31</f>
        <v>226.86099999999999</v>
      </c>
      <c r="L8" s="21"/>
      <c r="M8" s="171">
        <f>+'Revenue Metrics Reconciliation'!H13</f>
        <v>830.24700000000007</v>
      </c>
      <c r="N8" s="172">
        <f>+'Revenue Metrics Reconciliation'!H31</f>
        <v>840.58299999999997</v>
      </c>
      <c r="O8" s="14"/>
      <c r="P8" s="13">
        <f>+'Revenue Metrics Reconciliation'!J13</f>
        <v>200.904</v>
      </c>
      <c r="Q8" s="13">
        <f>+'Revenue Metrics Reconciliation'!J31</f>
        <v>201.94300000000001</v>
      </c>
      <c r="R8" s="13">
        <f>+'Revenue Metrics Reconciliation'!K13</f>
        <v>214.61699999999999</v>
      </c>
      <c r="S8" s="13">
        <f>+'Revenue Metrics Reconciliation'!K31</f>
        <v>215.63</v>
      </c>
      <c r="T8" s="13">
        <f>+'Revenue Metrics Reconciliation'!L13</f>
        <v>224.82</v>
      </c>
      <c r="U8" s="13">
        <f>+'Revenue Metrics Reconciliation'!L31</f>
        <v>226.928</v>
      </c>
      <c r="V8" s="13">
        <f>+'Revenue Metrics Reconciliation'!M13</f>
        <v>234.16800000000001</v>
      </c>
      <c r="W8" s="13">
        <f>+'Revenue Metrics Reconciliation'!M31</f>
        <v>236.179</v>
      </c>
      <c r="X8" s="14"/>
      <c r="Y8" s="171">
        <f>+'Revenue Metrics Reconciliation'!O13</f>
        <v>874.5089999999999</v>
      </c>
      <c r="Z8" s="172">
        <f>+'Revenue Metrics Reconciliation'!O31</f>
        <v>880.68</v>
      </c>
      <c r="AA8" s="14"/>
      <c r="AB8" s="13">
        <f>+'Revenue Metrics Reconciliation'!Q13</f>
        <v>217.90600000000001</v>
      </c>
      <c r="AC8" s="13">
        <f>+'Revenue Metrics Reconciliation'!Q31</f>
        <v>219.24900000000002</v>
      </c>
      <c r="AD8" s="13">
        <f>+'Revenue Metrics Reconciliation'!R13</f>
        <v>222.899</v>
      </c>
      <c r="AE8" s="13">
        <f>+'Revenue Metrics Reconciliation'!R31</f>
        <v>223.63100000000003</v>
      </c>
      <c r="AF8" s="13">
        <f>+'Revenue Metrics Reconciliation'!S13</f>
        <v>225.19300000000001</v>
      </c>
      <c r="AG8" s="13">
        <f>+'Revenue Metrics Reconciliation'!S31</f>
        <v>225.61599999999999</v>
      </c>
      <c r="AH8" s="13">
        <f>+'Revenue Metrics Reconciliation'!T13</f>
        <v>236.24699999999999</v>
      </c>
      <c r="AI8" s="13">
        <f>+'Revenue Metrics Reconciliation'!T31</f>
        <v>236.751</v>
      </c>
      <c r="AJ8" s="14"/>
      <c r="AK8" s="13">
        <f>+'Revenue Metrics Reconciliation'!V13</f>
        <v>902.245</v>
      </c>
      <c r="AL8" s="13">
        <f>+'Revenue Metrics Reconciliation'!V31</f>
        <v>905.24700000000007</v>
      </c>
      <c r="AM8" s="14"/>
      <c r="AN8" s="13">
        <f>+'Revenue Metrics Reconciliation'!X13</f>
        <v>216.56600000000003</v>
      </c>
      <c r="AO8" s="13">
        <f>+'Revenue Metrics Reconciliation'!X31</f>
        <v>217.19299999999998</v>
      </c>
      <c r="AP8" s="13">
        <f t="shared" ref="AP8:AU8" si="0">SUM(AP6:AP7)</f>
        <v>210.16499999999999</v>
      </c>
      <c r="AQ8" s="13">
        <f t="shared" si="0"/>
        <v>210.40699999999998</v>
      </c>
      <c r="AR8" s="13">
        <f t="shared" si="0"/>
        <v>218.54700000000003</v>
      </c>
      <c r="AS8" s="13">
        <f t="shared" si="0"/>
        <v>218.66699999999997</v>
      </c>
      <c r="AT8" s="13">
        <f t="shared" si="0"/>
        <v>265.10899999999998</v>
      </c>
      <c r="AU8" s="13">
        <f t="shared" si="0"/>
        <v>265.22000000000003</v>
      </c>
      <c r="AV8" s="14"/>
      <c r="AW8" s="13">
        <f>SUM(AW6:AW7)</f>
        <v>910.38699999999994</v>
      </c>
      <c r="AX8" s="13">
        <f>SUM(AX6:AX7)</f>
        <v>911.48699999999997</v>
      </c>
      <c r="AY8" s="14"/>
      <c r="AZ8" s="13">
        <f t="shared" ref="AZ8:BA8" si="1">SUM(AZ6:AZ7)</f>
        <v>221.27700000000002</v>
      </c>
      <c r="BA8" s="13">
        <f t="shared" si="1"/>
        <v>221.27700000000002</v>
      </c>
      <c r="BB8" s="13">
        <f>SUM(BB6:BB7)</f>
        <v>210.17000000000002</v>
      </c>
      <c r="BC8" s="13">
        <f t="shared" ref="BC8" si="2">SUM(BC6:BC7)</f>
        <v>210.17000000000002</v>
      </c>
      <c r="BD8" s="13">
        <f>SUM(BD6:BD7)</f>
        <v>224.19299999999998</v>
      </c>
      <c r="BE8" s="13">
        <f>SUM(BE6:BE7)</f>
        <v>224.19299999999998</v>
      </c>
      <c r="BF8" s="14"/>
      <c r="BG8" s="13">
        <f>SUM(BG6:BG7)</f>
        <v>655.64</v>
      </c>
      <c r="BH8" s="13">
        <f>SUM(BH6:BH7)</f>
        <v>655.64</v>
      </c>
      <c r="BI8" s="14"/>
      <c r="BJ8" s="327"/>
      <c r="BK8" s="14"/>
      <c r="BL8" s="14"/>
      <c r="BM8" s="14"/>
      <c r="BN8" s="14"/>
      <c r="BO8" s="14"/>
    </row>
    <row r="9" spans="1:67" ht="17.5" thickBot="1">
      <c r="A9" s="314"/>
      <c r="B9" s="12"/>
      <c r="C9" s="14"/>
      <c r="D9" s="171"/>
      <c r="E9" s="13"/>
      <c r="F9" s="13"/>
      <c r="G9" s="172"/>
      <c r="H9" s="13"/>
      <c r="I9" s="172"/>
      <c r="J9" s="13"/>
      <c r="K9" s="172"/>
      <c r="L9" s="21"/>
      <c r="M9" s="171"/>
      <c r="N9" s="172"/>
      <c r="O9" s="14"/>
      <c r="P9" s="13"/>
      <c r="Q9" s="13"/>
      <c r="R9" s="13"/>
      <c r="S9" s="13"/>
      <c r="T9" s="13"/>
      <c r="U9" s="13"/>
      <c r="V9" s="13"/>
      <c r="W9" s="13"/>
      <c r="X9" s="14"/>
      <c r="Y9" s="171"/>
      <c r="Z9" s="172"/>
      <c r="AA9" s="14"/>
      <c r="AB9" s="13"/>
      <c r="AC9" s="13"/>
      <c r="AD9" s="13"/>
      <c r="AE9" s="13"/>
      <c r="AF9" s="13"/>
      <c r="AG9" s="13"/>
      <c r="AH9" s="13"/>
      <c r="AI9" s="13"/>
      <c r="AJ9" s="14"/>
      <c r="AK9" s="13"/>
      <c r="AL9" s="13"/>
      <c r="AM9" s="14"/>
      <c r="AN9" s="13"/>
      <c r="AO9" s="13"/>
      <c r="AP9" s="13"/>
      <c r="AQ9" s="13"/>
      <c r="AR9" s="13"/>
      <c r="AS9" s="13"/>
      <c r="AT9" s="13"/>
      <c r="AU9" s="13"/>
      <c r="AV9" s="14"/>
      <c r="AW9" s="13"/>
      <c r="AX9" s="13"/>
      <c r="AY9" s="14"/>
      <c r="AZ9" s="13"/>
      <c r="BA9" s="13"/>
      <c r="BB9" s="13"/>
      <c r="BC9" s="13"/>
      <c r="BD9" s="13"/>
      <c r="BE9" s="13"/>
      <c r="BF9" s="14"/>
      <c r="BG9" s="13"/>
      <c r="BH9" s="13"/>
      <c r="BI9" s="14"/>
      <c r="BJ9" s="15"/>
      <c r="BK9" s="14"/>
      <c r="BL9" s="14"/>
      <c r="BM9" s="14"/>
      <c r="BN9" s="14"/>
      <c r="BO9" s="14"/>
    </row>
    <row r="10" spans="1:67" ht="34.25" thickBot="1">
      <c r="A10" s="314"/>
      <c r="B10" s="16" t="s">
        <v>308</v>
      </c>
      <c r="C10" s="14"/>
      <c r="D10" s="171"/>
      <c r="E10" s="13"/>
      <c r="F10" s="13"/>
      <c r="G10" s="172"/>
      <c r="H10" s="13"/>
      <c r="I10" s="172"/>
      <c r="J10" s="13"/>
      <c r="K10" s="172"/>
      <c r="L10" s="21"/>
      <c r="M10" s="171"/>
      <c r="N10" s="172"/>
      <c r="O10" s="14"/>
      <c r="P10" s="13"/>
      <c r="Q10" s="13"/>
      <c r="R10" s="13"/>
      <c r="S10" s="13"/>
      <c r="T10" s="13"/>
      <c r="U10" s="13"/>
      <c r="V10" s="13"/>
      <c r="W10" s="13"/>
      <c r="X10" s="14"/>
      <c r="Y10" s="171"/>
      <c r="Z10" s="172"/>
      <c r="AA10" s="14"/>
      <c r="AB10" s="13"/>
      <c r="AC10" s="13"/>
      <c r="AD10" s="13"/>
      <c r="AE10" s="13"/>
      <c r="AF10" s="13"/>
      <c r="AG10" s="13"/>
      <c r="AH10" s="13"/>
      <c r="AI10" s="13"/>
      <c r="AJ10" s="14"/>
      <c r="AK10" s="13"/>
      <c r="AL10" s="13"/>
      <c r="AM10" s="14"/>
      <c r="AN10" s="13"/>
      <c r="AO10" s="13"/>
      <c r="AP10" s="13"/>
      <c r="AQ10" s="13"/>
      <c r="AR10" s="13"/>
      <c r="AS10" s="13"/>
      <c r="AT10" s="13"/>
      <c r="AU10" s="13"/>
      <c r="AV10" s="14"/>
      <c r="AW10" s="13"/>
      <c r="AX10" s="13"/>
      <c r="AY10" s="14"/>
      <c r="AZ10" s="18">
        <v>5.4666721940192058E-2</v>
      </c>
      <c r="BA10" s="18">
        <v>5.152698148800626E-2</v>
      </c>
      <c r="BB10" s="198">
        <v>3.1580084030313871E-2</v>
      </c>
      <c r="BC10" s="198">
        <f>(BC8-'Divestiture Revenue'!C12)/'Divestiture Revenue'!C12</f>
        <v>3.0356214885919105E-2</v>
      </c>
      <c r="BD10" s="198">
        <f>(BD8-'Divestiture Revenue'!D8)/'Divestiture Revenue'!D8</f>
        <v>5.5358630721215586E-2</v>
      </c>
      <c r="BE10" s="198">
        <f>(BE8-'Divestiture Revenue'!D12)/'Divestiture Revenue'!D12</f>
        <v>5.4762812098629453E-2</v>
      </c>
      <c r="BF10" s="14"/>
      <c r="BG10" s="198">
        <f>(BG8-'Divestiture Revenue'!B8-'Divestiture Revenue'!C8-'Divestiture Revenue'!D8)/('Divestiture Revenue'!B8+'Divestiture Revenue'!C8+'Divestiture Revenue'!D8)</f>
        <v>4.7388398277250228E-2</v>
      </c>
      <c r="BH10" s="198">
        <f>(BH8-'Divestiture Revenue'!B12-'Divestiture Revenue'!C12-'Divestiture Revenue'!D12)/('Divestiture Revenue'!B12+'Divestiture Revenue'!C12+'Divestiture Revenue'!D12)</f>
        <v>4.5736205370315745E-2</v>
      </c>
      <c r="BI10" s="14"/>
      <c r="BJ10" s="284" t="s">
        <v>13</v>
      </c>
      <c r="BK10" s="14"/>
      <c r="BL10" s="14"/>
      <c r="BM10" s="14"/>
      <c r="BN10" s="14"/>
      <c r="BO10" s="14"/>
    </row>
    <row r="11" spans="1:67" ht="17.75" thickBot="1">
      <c r="A11" s="314"/>
      <c r="B11" s="16" t="s">
        <v>37</v>
      </c>
      <c r="C11" s="17"/>
      <c r="D11" s="173">
        <f>'Constant Currency'!B10</f>
        <v>-0.10251333928873217</v>
      </c>
      <c r="E11" s="18">
        <f>'Constant Currency'!B18</f>
        <v>-0.12387256968411096</v>
      </c>
      <c r="F11" s="18">
        <f>'Constant Currency'!C10</f>
        <v>-3.4790669517017078E-2</v>
      </c>
      <c r="G11" s="174">
        <f>'Constant Currency'!C18</f>
        <v>-5.163352012599344E-2</v>
      </c>
      <c r="H11" s="18">
        <f>'Constant Currency'!D10</f>
        <v>-1.245319726892298E-2</v>
      </c>
      <c r="I11" s="174">
        <f>'Constant Currency'!D18</f>
        <v>-2.9890831545088262E-2</v>
      </c>
      <c r="J11" s="18">
        <f>'Constant Currency'!E10</f>
        <v>7.1513581963077097E-2</v>
      </c>
      <c r="K11" s="174">
        <f>'Constant Currency'!E18</f>
        <v>5.6346619482212701E-2</v>
      </c>
      <c r="L11" s="162"/>
      <c r="M11" s="173">
        <f>'Constant Currency'!G10</f>
        <v>-1.922920173651092E-2</v>
      </c>
      <c r="N11" s="174">
        <f>'Constant Currency'!G18</f>
        <v>-3.7353412734768748E-2</v>
      </c>
      <c r="O11" s="14"/>
      <c r="P11" s="18">
        <f>'Constant Currency'!I10</f>
        <v>8.0913566298119535E-2</v>
      </c>
      <c r="Q11" s="18">
        <f>'Constant Currency'!I18</f>
        <v>6.7763989277046646E-2</v>
      </c>
      <c r="R11" s="18">
        <f>'Constant Currency'!J10</f>
        <v>5.1631713053704467E-2</v>
      </c>
      <c r="S11" s="18">
        <f>'Constant Currency'!J18</f>
        <v>4.0956619968524517E-2</v>
      </c>
      <c r="T11" s="18">
        <f>'Constant Currency'!K10</f>
        <v>4.4595812695728057E-2</v>
      </c>
      <c r="U11" s="18">
        <f>'Constant Currency'!K18</f>
        <v>4.3591830728124684E-2</v>
      </c>
      <c r="V11" s="18">
        <f>'Constant Currency'!L10</f>
        <v>4.0376754931579724E-2</v>
      </c>
      <c r="W11" s="18">
        <f>'Constant Currency'!L18</f>
        <v>4.1073608949973826E-2</v>
      </c>
      <c r="X11" s="14"/>
      <c r="Y11" s="173">
        <f>'Constant Currency'!N10</f>
        <v>5.3311845751926629E-2</v>
      </c>
      <c r="Z11" s="174">
        <f>'Constant Currency'!N18</f>
        <v>4.770141675479992E-2</v>
      </c>
      <c r="AA11" s="14"/>
      <c r="AB11" s="18">
        <f>'Constant Currency'!P10</f>
        <v>8.4627483773344531E-2</v>
      </c>
      <c r="AC11" s="18">
        <f>'Constant Currency'!P18</f>
        <v>8.5697449280242491E-2</v>
      </c>
      <c r="AD11" s="18">
        <f>'Constant Currency'!Q10</f>
        <v>3.8589673697796589E-2</v>
      </c>
      <c r="AE11" s="18">
        <f>'Constant Currency'!Q18</f>
        <v>3.7105226545471562E-2</v>
      </c>
      <c r="AF11" s="18">
        <f>'Constant Currency'!R10</f>
        <v>1.6591050618273236E-3</v>
      </c>
      <c r="AG11" s="18">
        <f>'Constant Currency'!R18</f>
        <v>-5.7815694845942851E-3</v>
      </c>
      <c r="AH11" s="18">
        <f>'Constant Currency'!S10</f>
        <v>8.8782412626831134E-3</v>
      </c>
      <c r="AI11" s="18">
        <f>'Constant Currency'!S18</f>
        <v>2.4218918701493473E-3</v>
      </c>
      <c r="AJ11" s="14"/>
      <c r="AK11" s="18">
        <f>'Constant Currency'!U10</f>
        <v>3.1716082967699712E-2</v>
      </c>
      <c r="AL11" s="18">
        <f>'Constant Currency'!U18</f>
        <v>2.7895489848753376E-2</v>
      </c>
      <c r="AM11" s="14"/>
      <c r="AN11" s="18">
        <f>'Constant Currency'!W10</f>
        <v>-6.1494405844720887E-3</v>
      </c>
      <c r="AO11" s="18">
        <f>'Constant Currency'!W18</f>
        <v>-9.3774658037210652E-3</v>
      </c>
      <c r="AP11" s="18">
        <f>'Constant Currency'!X10</f>
        <v>-5.7129013589114389E-2</v>
      </c>
      <c r="AQ11" s="18">
        <f>'Constant Currency'!X18</f>
        <v>-5.9133125550572346E-2</v>
      </c>
      <c r="AR11" s="18">
        <f>'Constant Currency'!Y10</f>
        <v>-2.9512462643154921E-2</v>
      </c>
      <c r="AS11" s="18">
        <f>'Constant Currency'!Y18</f>
        <v>-3.080012055882567E-2</v>
      </c>
      <c r="AT11" s="18">
        <f>'Constant Currency'!Z10</f>
        <v>0.12216874711636548</v>
      </c>
      <c r="AU11" s="18">
        <f>'Constant Currency'!Z18</f>
        <v>0.12024870011108726</v>
      </c>
      <c r="AV11" s="14"/>
      <c r="AW11" s="18">
        <f>'Constant Currency'!AB10</f>
        <v>9.0241564098442646E-3</v>
      </c>
      <c r="AX11" s="18">
        <f>'Constant Currency'!AB18</f>
        <v>6.893146290459836E-3</v>
      </c>
      <c r="AY11" s="14"/>
      <c r="AZ11" s="18">
        <f>'Constant Currency'!AD10</f>
        <v>2.1753183786928622E-2</v>
      </c>
      <c r="BA11" s="18">
        <f>'Constant Currency'!AD18</f>
        <v>1.8803552600682491E-2</v>
      </c>
      <c r="BB11" s="18">
        <f>'Constant Currency'!AE10</f>
        <v>2.3790831013840909E-5</v>
      </c>
      <c r="BC11" s="18">
        <f>'Constant Currency'!AE18</f>
        <v>-1.1263883806145536E-3</v>
      </c>
      <c r="BD11" s="18">
        <f>'Constant Currency'!AF10</f>
        <v>2.5834259907479663E-2</v>
      </c>
      <c r="BE11" s="18">
        <f>'Constant Currency'!AF18</f>
        <v>2.5271302940087031E-2</v>
      </c>
      <c r="BF11" s="14"/>
      <c r="BG11" s="18">
        <f>'Constant Currency'!AH10</f>
        <v>1.6058195072511331E-2</v>
      </c>
      <c r="BH11" s="18">
        <f>'Constant Currency'!AH18</f>
        <v>1.4503293530383028E-2</v>
      </c>
      <c r="BI11" s="14"/>
      <c r="BJ11" s="284" t="s">
        <v>38</v>
      </c>
      <c r="BK11" s="14"/>
      <c r="BL11" s="14"/>
      <c r="BM11" s="14"/>
      <c r="BN11" s="14"/>
      <c r="BO11" s="14"/>
    </row>
    <row r="12" spans="1:67" ht="17.75" thickBot="1">
      <c r="A12" s="319"/>
      <c r="B12" s="16" t="s">
        <v>39</v>
      </c>
      <c r="C12" s="17"/>
      <c r="D12" s="175">
        <f>'Constant Currency'!B12</f>
        <v>-9.2204060938216759E-2</v>
      </c>
      <c r="E12" s="176">
        <f>'Constant Currency'!B20</f>
        <v>-0.11519593082777818</v>
      </c>
      <c r="F12" s="176">
        <f>'Constant Currency'!C12</f>
        <v>-3.0439471045611944E-2</v>
      </c>
      <c r="G12" s="177">
        <f>'Constant Currency'!C20</f>
        <v>-4.7723693367029293E-2</v>
      </c>
      <c r="H12" s="176">
        <f>'Constant Currency'!D12</f>
        <v>-2.2648851038837122E-2</v>
      </c>
      <c r="I12" s="177">
        <f>'Constant Currency'!D20</f>
        <v>-4.0816599672539255E-2</v>
      </c>
      <c r="J12" s="176">
        <f>'Constant Currency'!E12</f>
        <v>6.1611554903883724E-2</v>
      </c>
      <c r="K12" s="177">
        <f>'Constant Currency'!E20</f>
        <v>4.3024771838331206E-2</v>
      </c>
      <c r="L12" s="162"/>
      <c r="M12" s="175">
        <f>'Constant Currency'!G12</f>
        <v>-2.0702282862289922E-2</v>
      </c>
      <c r="N12" s="177">
        <f>'Constant Currency'!G20</f>
        <v>-3.916628492899684E-2</v>
      </c>
      <c r="O12" s="14"/>
      <c r="P12" s="18">
        <f>'Constant Currency'!I12</f>
        <v>5.4528824684582845E-2</v>
      </c>
      <c r="Q12" s="18">
        <f>'Constant Currency'!I20</f>
        <v>4.1628112326637601E-2</v>
      </c>
      <c r="R12" s="18">
        <f>'Constant Currency'!J12</f>
        <v>2.9008232065856607E-2</v>
      </c>
      <c r="S12" s="18">
        <f>'Constant Currency'!J20</f>
        <v>1.8605234955055779E-2</v>
      </c>
      <c r="T12" s="18">
        <f>'Constant Currency'!K12</f>
        <v>3.6139428125377474E-2</v>
      </c>
      <c r="U12" s="18">
        <f>'Constant Currency'!K20</f>
        <v>3.4725383883117363E-2</v>
      </c>
      <c r="V12" s="18">
        <f>'Constant Currency'!L12</f>
        <v>4.4073218411231373E-2</v>
      </c>
      <c r="W12" s="18">
        <f>'Constant Currency'!L20</f>
        <v>4.4692565050846157E-2</v>
      </c>
      <c r="X12" s="14"/>
      <c r="Y12" s="175">
        <f>'Constant Currency'!N12</f>
        <v>4.1858627613228262E-2</v>
      </c>
      <c r="Z12" s="177">
        <f>'Constant Currency'!N20</f>
        <v>3.6185599756359613E-2</v>
      </c>
      <c r="AA12" s="14"/>
      <c r="AB12" s="18">
        <f>'Constant Currency'!P12</f>
        <v>9.5050372317126611E-2</v>
      </c>
      <c r="AC12" s="18">
        <f>'Constant Currency'!P20</f>
        <v>9.9320105178193785E-2</v>
      </c>
      <c r="AD12" s="18">
        <f>'Constant Currency'!Q12</f>
        <v>6.7017058294543352E-2</v>
      </c>
      <c r="AE12" s="18">
        <f>'Constant Currency'!Q20</f>
        <v>6.2004359319204214E-2</v>
      </c>
      <c r="AF12" s="18">
        <f>'Constant Currency'!R12</f>
        <v>3.1936660439462715E-2</v>
      </c>
      <c r="AG12" s="18">
        <f>'Constant Currency'!R20</f>
        <v>2.2350701544102108E-2</v>
      </c>
      <c r="AH12" s="18">
        <f>'Constant Currency'!S12</f>
        <v>2.9175634587133997E-2</v>
      </c>
      <c r="AI12" s="18">
        <f>'Constant Currency'!S20</f>
        <v>2.0412483751730669E-2</v>
      </c>
      <c r="AJ12" s="14"/>
      <c r="AK12" s="18">
        <f>'Constant Currency'!U12</f>
        <v>5.3162403131357255E-2</v>
      </c>
      <c r="AL12" s="18">
        <f>'Constant Currency'!U20</f>
        <v>5.0324749057546504E-2</v>
      </c>
      <c r="AM12" s="14"/>
      <c r="AN12" s="18">
        <f>'Constant Currency'!W12</f>
        <v>9.609648196928923E-3</v>
      </c>
      <c r="AO12" s="18">
        <f>'Constant Currency'!W20</f>
        <v>3.4253291919232299E-3</v>
      </c>
      <c r="AP12" s="18">
        <f>'Constant Currency'!X12</f>
        <v>-5.7869259171194135E-2</v>
      </c>
      <c r="AQ12" s="18">
        <f>'Constant Currency'!X20</f>
        <v>-6.0953087899262744E-2</v>
      </c>
      <c r="AR12" s="18">
        <f>'Constant Currency'!Y12</f>
        <v>-3.6382125554524393E-2</v>
      </c>
      <c r="AS12" s="18">
        <f>'Constant Currency'!Y20</f>
        <v>-3.81887809375221E-2</v>
      </c>
      <c r="AT12" s="18">
        <f>'Constant Currency'!Z12</f>
        <v>0.11747450761279515</v>
      </c>
      <c r="AU12" s="18">
        <f>'Constant Currency'!Z20</f>
        <v>0.11509560677674009</v>
      </c>
      <c r="AV12" s="14"/>
      <c r="AW12" s="18">
        <f>'Constant Currency'!AB12</f>
        <v>8.5952263520440633E-3</v>
      </c>
      <c r="AX12" s="18">
        <f>'Constant Currency'!AB20</f>
        <v>6.3551715719576303E-3</v>
      </c>
      <c r="AY12" s="14"/>
      <c r="AZ12" s="18">
        <f>'Constant Currency'!AD12</f>
        <v>2.047412797946108E-2</v>
      </c>
      <c r="BA12" s="18">
        <f>'Constant Currency'!AD20</f>
        <v>1.7528189214201271E-2</v>
      </c>
      <c r="BB12" s="18">
        <f>'Constant Currency'!AE12</f>
        <v>-7.8509742345296335E-4</v>
      </c>
      <c r="BC12" s="18">
        <f>'Constant Currency'!AE20</f>
        <v>-1.9343462907602043E-3</v>
      </c>
      <c r="BD12" s="18">
        <f>'Constant Currency'!AF12</f>
        <v>2.0375479873894285E-2</v>
      </c>
      <c r="BE12" s="18">
        <f>'Constant Currency'!AF20</f>
        <v>1.9815518573904737E-2</v>
      </c>
      <c r="BF12" s="14"/>
      <c r="BG12" s="18">
        <f>'Constant Currency'!AH12</f>
        <v>1.351665483713993E-2</v>
      </c>
      <c r="BH12" s="18">
        <f>'Constant Currency'!AH20</f>
        <v>1.1965642683287344E-2</v>
      </c>
      <c r="BI12" s="14"/>
      <c r="BJ12" s="134" t="s">
        <v>38</v>
      </c>
      <c r="BK12" s="14"/>
      <c r="BL12" s="14"/>
      <c r="BM12" s="14"/>
      <c r="BN12" s="14"/>
      <c r="BO12" s="14"/>
    </row>
    <row r="13" spans="1:67" ht="25.5" customHeight="1" thickBot="1">
      <c r="A13" s="28"/>
      <c r="B13" s="29"/>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244"/>
      <c r="AO13" s="244"/>
      <c r="AP13" s="244"/>
      <c r="AQ13" s="244"/>
      <c r="AR13" s="244"/>
      <c r="AS13" s="244"/>
      <c r="AT13" s="244"/>
      <c r="AU13" s="244"/>
      <c r="AV13" s="14"/>
      <c r="AW13" s="14"/>
      <c r="AX13" s="14"/>
      <c r="AY13" s="14"/>
      <c r="AZ13" s="244"/>
      <c r="BA13" s="244"/>
      <c r="BB13" s="244"/>
      <c r="BC13" s="244"/>
      <c r="BD13" s="244"/>
      <c r="BE13" s="244"/>
      <c r="BF13" s="14"/>
      <c r="BG13" s="14"/>
      <c r="BH13" s="14"/>
      <c r="BI13" s="14"/>
      <c r="BJ13" s="14"/>
      <c r="BK13" s="14"/>
      <c r="BL13" s="14"/>
      <c r="BM13" s="14"/>
      <c r="BN13" s="14"/>
      <c r="BO13" s="14"/>
    </row>
    <row r="14" spans="1:67" ht="70.150000000000006" customHeight="1" thickBot="1">
      <c r="A14" s="260" t="s">
        <v>40</v>
      </c>
      <c r="B14" s="16" t="s">
        <v>41</v>
      </c>
      <c r="C14" s="17"/>
      <c r="D14" s="178">
        <v>0.81899806465941172</v>
      </c>
      <c r="E14" s="179">
        <v>0.82266858141081822</v>
      </c>
      <c r="F14" s="179">
        <v>0.79537510851190196</v>
      </c>
      <c r="G14" s="261">
        <v>0.79889650991793981</v>
      </c>
      <c r="H14" s="179">
        <v>0.80903529462448975</v>
      </c>
      <c r="I14" s="261">
        <v>0.81129836473837402</v>
      </c>
      <c r="J14" s="179">
        <v>0.78890289784457424</v>
      </c>
      <c r="K14" s="261">
        <v>0.79077466892362835</v>
      </c>
      <c r="L14" s="162"/>
      <c r="M14" s="197">
        <v>0.80230366959178434</v>
      </c>
      <c r="N14" s="262">
        <v>0.80511129431162409</v>
      </c>
      <c r="O14" s="14"/>
      <c r="P14" s="23">
        <v>0.83125978270877443</v>
      </c>
      <c r="Q14" s="23">
        <v>0.83226267768784146</v>
      </c>
      <c r="R14" s="23">
        <v>0.82841184551814862</v>
      </c>
      <c r="S14" s="23">
        <v>0.82932890155112382</v>
      </c>
      <c r="T14" s="23">
        <v>0.79705591552194011</v>
      </c>
      <c r="U14" s="23">
        <v>0.79918055176181368</v>
      </c>
      <c r="V14" s="23">
        <v>0.82843406134782049</v>
      </c>
      <c r="W14" s="23">
        <v>0.83006406258858212</v>
      </c>
      <c r="X14" s="14"/>
      <c r="Y14" s="197">
        <v>0.82095857532413474</v>
      </c>
      <c r="Z14" s="262">
        <v>0.82237984609803727</v>
      </c>
      <c r="AA14" s="14"/>
      <c r="AB14" s="23">
        <v>0.82734328358208953</v>
      </c>
      <c r="AC14" s="23">
        <v>0.82853872803761441</v>
      </c>
      <c r="AD14" s="23">
        <v>0.8438878466764691</v>
      </c>
      <c r="AE14" s="23">
        <v>0.84446509936250391</v>
      </c>
      <c r="AF14" s="23">
        <v>0.87704319722925583</v>
      </c>
      <c r="AG14" s="23">
        <v>0.877304465765811</v>
      </c>
      <c r="AH14" s="23">
        <v>0.86829615345009969</v>
      </c>
      <c r="AI14" s="23">
        <v>0.86860611720756475</v>
      </c>
      <c r="AJ14" s="14"/>
      <c r="AK14" s="23">
        <v>0.85462657763903915</v>
      </c>
      <c r="AL14" s="23">
        <v>0.85516860212382784</v>
      </c>
      <c r="AM14" s="14"/>
      <c r="AN14" s="23">
        <v>0.87244526217022322</v>
      </c>
      <c r="AO14" s="23">
        <v>0.87286311389759663</v>
      </c>
      <c r="AP14" s="23">
        <f>+AP6/('Nonrecurring Summary'!AP7+'Summary P&amp;L'!AP6)</f>
        <v>0.86460520592231394</v>
      </c>
      <c r="AQ14" s="23">
        <f>+AQ6/('Nonrecurring Summary'!AQ7+'Summary P&amp;L'!AQ6)</f>
        <v>0.86478093675081658</v>
      </c>
      <c r="AR14" s="23">
        <f>+AR6/('Nonrecurring Summary'!AR7+'Summary P&amp;L'!AR6)</f>
        <v>0.86774131003802368</v>
      </c>
      <c r="AS14" s="23">
        <f>+AS6/('Nonrecurring Summary'!AS7+'Summary P&amp;L'!AS6)</f>
        <v>0.86782673283313783</v>
      </c>
      <c r="AT14" s="23">
        <f>+AT6/('Nonrecurring Summary'!AT7+'Summary P&amp;L'!AT6)</f>
        <v>0.89109425950440491</v>
      </c>
      <c r="AU14" s="23">
        <f>+AU6/('Nonrecurring Summary'!AU7+'Summary P&amp;L'!AU6)</f>
        <v>0.8911453621583233</v>
      </c>
      <c r="AV14" s="14"/>
      <c r="AW14" s="23">
        <f>+AW6/('Nonrecurring Summary'!AW7+'Summary P&amp;L'!AW6)</f>
        <v>0.87504332994202239</v>
      </c>
      <c r="AX14" s="23">
        <f>+AX6/('Nonrecurring Summary'!AX7+'Summary P&amp;L'!AX6)</f>
        <v>0.87521510220557086</v>
      </c>
      <c r="AY14" s="14"/>
      <c r="AZ14" s="23">
        <f>+AZ6/('Nonrecurring Summary'!AZ7+'Summary P&amp;L'!AZ6)</f>
        <v>0.87451367750519082</v>
      </c>
      <c r="BA14" s="23">
        <f>+BA6/('Nonrecurring Summary'!BA7+'Summary P&amp;L'!BA6)</f>
        <v>0.87451367750519082</v>
      </c>
      <c r="BB14" s="23">
        <f>+BB6/('Nonrecurring Summary'!BB7+'Summary P&amp;L'!BB6)</f>
        <v>0.87258837931605926</v>
      </c>
      <c r="BC14" s="23">
        <f>+BC6/('Nonrecurring Summary'!BC7+'Summary P&amp;L'!BC6)</f>
        <v>0.87258837931605926</v>
      </c>
      <c r="BD14" s="23">
        <f>+BD6/('Nonrecurring Summary'!BD7+'Summary P&amp;L'!BD6)</f>
        <v>0.88456639239852652</v>
      </c>
      <c r="BE14" s="23">
        <f>+BE6/('Nonrecurring Summary'!BE7+'Summary P&amp;L'!BE6)</f>
        <v>0.88456639239852652</v>
      </c>
      <c r="BF14" s="14"/>
      <c r="BG14" s="23">
        <f>+BG6/('Nonrecurring Summary'!BG7+'Summary P&amp;L'!BG6)</f>
        <v>0.8773733908494955</v>
      </c>
      <c r="BH14" s="23">
        <f>+BH6/('Nonrecurring Summary'!BH7+'Summary P&amp;L'!BH6)</f>
        <v>0.8773733908494955</v>
      </c>
      <c r="BI14" s="14"/>
      <c r="BJ14" s="14"/>
      <c r="BK14" s="14"/>
      <c r="BL14" s="14"/>
      <c r="BM14" s="14"/>
      <c r="BN14" s="14"/>
      <c r="BO14" s="14"/>
    </row>
    <row r="15" spans="1:67" ht="25.5" customHeight="1" thickBot="1">
      <c r="A15" s="28"/>
      <c r="B15" s="2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244"/>
      <c r="AO15" s="244"/>
      <c r="AP15" s="244"/>
      <c r="AQ15" s="244"/>
      <c r="AR15" s="244"/>
      <c r="AS15" s="244"/>
      <c r="AT15" s="244"/>
      <c r="AU15" s="244"/>
      <c r="AV15" s="14"/>
      <c r="AW15" s="14"/>
      <c r="AX15" s="14"/>
      <c r="AY15" s="14"/>
      <c r="AZ15" s="14"/>
      <c r="BA15" s="14"/>
      <c r="BB15" s="14"/>
      <c r="BC15" s="14"/>
      <c r="BD15" s="14"/>
      <c r="BE15" s="14"/>
      <c r="BF15" s="14"/>
      <c r="BG15" s="14"/>
      <c r="BH15" s="14"/>
      <c r="BI15" s="14"/>
      <c r="BJ15" s="14"/>
      <c r="BK15" s="14"/>
      <c r="BL15" s="14"/>
      <c r="BM15" s="14"/>
      <c r="BN15" s="14"/>
      <c r="BO15" s="14"/>
    </row>
    <row r="16" spans="1:67" ht="18.75" customHeight="1" thickBot="1">
      <c r="A16" s="313" t="s">
        <v>42</v>
      </c>
      <c r="B16" s="132" t="s">
        <v>43</v>
      </c>
      <c r="D16" s="184">
        <f>+'Gross Profit'!B14</f>
        <v>114.96200000000002</v>
      </c>
      <c r="E16" s="185">
        <f>+'Gross Profit'!B25</f>
        <v>125.80700000000002</v>
      </c>
      <c r="F16" s="185">
        <f>+'Gross Profit'!C14</f>
        <v>137.17899999999997</v>
      </c>
      <c r="G16" s="186">
        <f>+'Gross Profit'!C25</f>
        <v>146.28700000000001</v>
      </c>
      <c r="H16" s="185">
        <f>+'Gross Profit'!D14</f>
        <v>141.35000000000002</v>
      </c>
      <c r="I16" s="186">
        <f>+'Gross Profit'!D25</f>
        <v>151.12400000000002</v>
      </c>
      <c r="J16" s="185">
        <f>+'Gross Profit'!E14</f>
        <v>149.20500000000004</v>
      </c>
      <c r="K16" s="186">
        <f>+'Gross Profit'!E25</f>
        <v>157.59199999999998</v>
      </c>
      <c r="L16" s="163"/>
      <c r="M16" s="184">
        <f>+'Gross Profit'!G14</f>
        <v>542.69600000000003</v>
      </c>
      <c r="N16" s="186">
        <f>+'Gross Profit'!G25</f>
        <v>580.81000000000006</v>
      </c>
      <c r="O16" s="14"/>
      <c r="P16" s="30">
        <f>+'Gross Profit'!I14</f>
        <v>128.56399999999999</v>
      </c>
      <c r="Q16" s="30">
        <f>+'Gross Profit'!I25</f>
        <v>135.81399999999999</v>
      </c>
      <c r="R16" s="30">
        <f>+'Gross Profit'!J14</f>
        <v>142.04999999999998</v>
      </c>
      <c r="S16" s="30">
        <f>+'Gross Profit'!J25</f>
        <v>149.02499999999998</v>
      </c>
      <c r="T16" s="30">
        <f>+'Gross Profit'!K14</f>
        <v>152.73599999999999</v>
      </c>
      <c r="U16" s="30">
        <f>+'Gross Profit'!K25</f>
        <v>161.18899999999999</v>
      </c>
      <c r="V16" s="30">
        <f>+'Gross Profit'!L14</f>
        <v>152.58699999999999</v>
      </c>
      <c r="W16" s="30">
        <f>+'Gross Profit'!L25</f>
        <v>160.14699999999999</v>
      </c>
      <c r="X16" s="14"/>
      <c r="Y16" s="184">
        <f>+'Gross Profit'!N14</f>
        <v>575.9369999999999</v>
      </c>
      <c r="Z16" s="186">
        <f>+'Gross Profit'!N25</f>
        <v>606.17499999999995</v>
      </c>
      <c r="AA16" s="14"/>
      <c r="AB16" s="30">
        <f>+'Gross Profit'!P14</f>
        <v>141.17099999999999</v>
      </c>
      <c r="AC16" s="30">
        <f>+'Gross Profit'!P25</f>
        <v>147.90699999999998</v>
      </c>
      <c r="AD16" s="30">
        <f>+'Gross Profit'!Q14</f>
        <v>147.79400000000001</v>
      </c>
      <c r="AE16" s="30">
        <f>+'Gross Profit'!Q25</f>
        <v>153.79300000000001</v>
      </c>
      <c r="AF16" s="30">
        <f>+'Gross Profit'!R14</f>
        <v>154.79599999999999</v>
      </c>
      <c r="AG16" s="30">
        <f>+'Gross Profit'!R25</f>
        <v>160.691</v>
      </c>
      <c r="AH16" s="30">
        <f>+'Gross Profit'!S14</f>
        <v>163.416</v>
      </c>
      <c r="AI16" s="30">
        <f>+'Gross Profit'!S25</f>
        <v>169.26400000000001</v>
      </c>
      <c r="AJ16" s="14"/>
      <c r="AK16" s="30">
        <f>+'Gross Profit'!U14</f>
        <v>607.17700000000002</v>
      </c>
      <c r="AL16" s="30">
        <f>+'Gross Profit'!U25</f>
        <v>631.65499999999997</v>
      </c>
      <c r="AM16" s="14"/>
      <c r="AN16" s="30">
        <f>+'Gross Profit'!W14</f>
        <v>148.16300000000001</v>
      </c>
      <c r="AO16" s="30">
        <f>+'Gross Profit'!W25</f>
        <v>151.50500000000002</v>
      </c>
      <c r="AP16" s="30">
        <f>+'Gross Profit'!X14</f>
        <v>141.28899999999999</v>
      </c>
      <c r="AQ16" s="30">
        <f>+'Gross Profit'!X25</f>
        <v>146.30099999999999</v>
      </c>
      <c r="AR16" s="30">
        <f>+'Gross Profit'!Y14</f>
        <v>153.00900000000001</v>
      </c>
      <c r="AS16" s="30">
        <f>+'Gross Profit'!Y25</f>
        <v>155.86000000000001</v>
      </c>
      <c r="AT16" s="30">
        <f>+'Gross Profit'!Z14</f>
        <v>190.81399999999996</v>
      </c>
      <c r="AU16" s="30">
        <f>+'Gross Profit'!Z25</f>
        <v>198.20299999999997</v>
      </c>
      <c r="AV16" s="14"/>
      <c r="AW16" s="30">
        <f>+'Gross Profit'!AB14</f>
        <v>633.27499999999998</v>
      </c>
      <c r="AX16" s="30">
        <f>+'Gross Profit'!AB25</f>
        <v>651.86900000000003</v>
      </c>
      <c r="AY16" s="14"/>
      <c r="AZ16" s="30">
        <f>+'Gross Profit'!AD14</f>
        <v>157.51599999999999</v>
      </c>
      <c r="BA16" s="30">
        <f>+'Gross Profit'!AD25</f>
        <v>160.13800000000001</v>
      </c>
      <c r="BB16" s="30">
        <f>+'Gross Profit'!AE14</f>
        <v>145.42600000000002</v>
      </c>
      <c r="BC16" s="30">
        <f>+'Gross Profit'!AE25</f>
        <v>149.65800000000002</v>
      </c>
      <c r="BD16" s="30">
        <f>+'Gross Profit'!AF14</f>
        <v>158.62699999999998</v>
      </c>
      <c r="BE16" s="30">
        <f>+'Gross Profit'!AF25</f>
        <v>161.31099999999998</v>
      </c>
      <c r="BF16" s="14"/>
      <c r="BG16" s="30">
        <f>+'Gross Profit'!AH14</f>
        <v>461.56899999999996</v>
      </c>
      <c r="BH16" s="30">
        <f>+'Gross Profit'!AH25</f>
        <v>471.10699999999997</v>
      </c>
      <c r="BI16" s="14"/>
      <c r="BJ16" s="320" t="s">
        <v>44</v>
      </c>
      <c r="BK16" s="14"/>
      <c r="BL16" s="14"/>
      <c r="BM16" s="14"/>
      <c r="BN16" s="14"/>
      <c r="BO16" s="14"/>
    </row>
    <row r="17" spans="1:67" ht="18.75" customHeight="1" thickBot="1">
      <c r="A17" s="314"/>
      <c r="B17" s="133" t="s">
        <v>45</v>
      </c>
      <c r="C17" s="27"/>
      <c r="D17" s="187">
        <f>+'Gross Profit'!B15</f>
        <v>0.61899999999999999</v>
      </c>
      <c r="E17" s="31">
        <f>+'Gross Profit'!B26</f>
        <v>0.66500000000000004</v>
      </c>
      <c r="F17" s="31">
        <f>+'Gross Profit'!C15</f>
        <v>0.67200000000000004</v>
      </c>
      <c r="G17" s="188">
        <f>+'Gross Profit'!C26</f>
        <v>0.70599999999999996</v>
      </c>
      <c r="H17" s="31">
        <f>+'Gross Profit'!D15</f>
        <v>0.65700000000000003</v>
      </c>
      <c r="I17" s="188">
        <f>+'Gross Profit'!D26</f>
        <v>0.69499999999999995</v>
      </c>
      <c r="J17" s="31">
        <f>+'Gross Profit'!E15</f>
        <v>0.66300000000000003</v>
      </c>
      <c r="K17" s="188">
        <f>+'Gross Profit'!E26</f>
        <v>0.69499999999999995</v>
      </c>
      <c r="L17" s="164"/>
      <c r="M17" s="187">
        <f>+'Gross Profit'!G15</f>
        <v>0.65400000000000003</v>
      </c>
      <c r="N17" s="188">
        <f>+'Gross Profit'!G26</f>
        <v>0.69099999999999995</v>
      </c>
      <c r="O17" s="14"/>
      <c r="P17" s="31">
        <f>+'Gross Profit'!I15</f>
        <v>0.64</v>
      </c>
      <c r="Q17" s="31">
        <f>+'Gross Profit'!I26</f>
        <v>0.67300000000000004</v>
      </c>
      <c r="R17" s="31">
        <f>+'Gross Profit'!J15</f>
        <v>0.66200000000000003</v>
      </c>
      <c r="S17" s="31">
        <f>+'Gross Profit'!J26</f>
        <v>0.69099999999999995</v>
      </c>
      <c r="T17" s="31">
        <f>+'Gross Profit'!K15</f>
        <v>0.67900000000000005</v>
      </c>
      <c r="U17" s="31">
        <f>+'Gross Profit'!K26</f>
        <v>0.71</v>
      </c>
      <c r="V17" s="31">
        <f>+'Gross Profit'!L15</f>
        <v>0.65200000000000002</v>
      </c>
      <c r="W17" s="31">
        <f>+'Gross Profit'!L26</f>
        <v>0.67800000000000005</v>
      </c>
      <c r="X17" s="14"/>
      <c r="Y17" s="187">
        <f>+'Gross Profit'!N15</f>
        <v>0.65900000000000003</v>
      </c>
      <c r="Z17" s="188">
        <f>+'Gross Profit'!N26</f>
        <v>0.68799999999999994</v>
      </c>
      <c r="AA17" s="14"/>
      <c r="AB17" s="31">
        <f>+'Gross Profit'!P15</f>
        <v>0.64800000000000002</v>
      </c>
      <c r="AC17" s="31">
        <f>+'Gross Profit'!P26</f>
        <v>0.67500000000000004</v>
      </c>
      <c r="AD17" s="31">
        <f>+'Gross Profit'!Q15</f>
        <v>0.66300000000000003</v>
      </c>
      <c r="AE17" s="31">
        <f>+'Gross Profit'!Q26</f>
        <v>0.68799999999999994</v>
      </c>
      <c r="AF17" s="31">
        <f>+'Gross Profit'!R15</f>
        <v>0.68700000000000006</v>
      </c>
      <c r="AG17" s="31">
        <f>+'Gross Profit'!R26</f>
        <v>0.71199999999999997</v>
      </c>
      <c r="AH17" s="31">
        <f>+'Gross Profit'!S15</f>
        <v>0.69199999999999995</v>
      </c>
      <c r="AI17" s="31">
        <f>+'Gross Profit'!S26</f>
        <v>0.71499999999999997</v>
      </c>
      <c r="AJ17" s="14"/>
      <c r="AK17" s="31">
        <f>+'Gross Profit'!U15</f>
        <v>0.67300000000000004</v>
      </c>
      <c r="AL17" s="31">
        <f>+'Gross Profit'!U26</f>
        <v>0.69799999999999995</v>
      </c>
      <c r="AM17" s="14"/>
      <c r="AN17" s="31">
        <f>+'Gross Profit'!W15</f>
        <v>0.68400000000000005</v>
      </c>
      <c r="AO17" s="31">
        <f>+'Gross Profit'!W26</f>
        <v>0.69799999999999995</v>
      </c>
      <c r="AP17" s="31">
        <f>+'Gross Profit'!X15</f>
        <v>0.67200000000000004</v>
      </c>
      <c r="AQ17" s="31">
        <f>+'Gross Profit'!X26</f>
        <v>0.69499999999999995</v>
      </c>
      <c r="AR17" s="31">
        <f>+'Gross Profit'!Y15</f>
        <v>0.7</v>
      </c>
      <c r="AS17" s="31">
        <f>+'Gross Profit'!Y26</f>
        <v>0.71299999999999997</v>
      </c>
      <c r="AT17" s="31">
        <f>+'Gross Profit'!Z15</f>
        <v>0.72</v>
      </c>
      <c r="AU17" s="31">
        <f>+'Gross Profit'!Z26</f>
        <v>0.747</v>
      </c>
      <c r="AV17" s="14"/>
      <c r="AW17" s="31">
        <f>+'Gross Profit'!AB15</f>
        <v>0.69599999999999995</v>
      </c>
      <c r="AX17" s="31">
        <f>+'Gross Profit'!AB26</f>
        <v>0.71499999999999997</v>
      </c>
      <c r="AY17" s="14"/>
      <c r="AZ17" s="31">
        <f>+'Gross Profit'!AD15</f>
        <v>0.71199999999999997</v>
      </c>
      <c r="BA17" s="31">
        <f>+'Gross Profit'!AD26</f>
        <v>0.72399999999999998</v>
      </c>
      <c r="BB17" s="31">
        <f>+'Gross Profit'!AE15</f>
        <v>0.69199999999999995</v>
      </c>
      <c r="BC17" s="31">
        <f>+'Gross Profit'!AE26</f>
        <v>0.71199999999999997</v>
      </c>
      <c r="BD17" s="31">
        <f>+'Gross Profit'!AF15</f>
        <v>0.70799999999999996</v>
      </c>
      <c r="BE17" s="31">
        <f>+'Gross Profit'!AF26</f>
        <v>0.72</v>
      </c>
      <c r="BF17" s="14"/>
      <c r="BG17" s="31">
        <f>+'Gross Profit'!AH15</f>
        <v>0.70399999999999996</v>
      </c>
      <c r="BH17" s="31">
        <f>+'Gross Profit'!AH26</f>
        <v>0.71899999999999997</v>
      </c>
      <c r="BI17" s="14"/>
      <c r="BJ17" s="322"/>
      <c r="BK17" s="14"/>
      <c r="BL17" s="14"/>
      <c r="BM17" s="14"/>
      <c r="BN17" s="14"/>
      <c r="BO17" s="14"/>
    </row>
    <row r="18" spans="1:67" ht="19.5" customHeight="1" thickBot="1">
      <c r="A18" s="315"/>
      <c r="B18" s="29"/>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264"/>
      <c r="AR18" s="14"/>
      <c r="AS18" s="264"/>
      <c r="AT18" s="14"/>
      <c r="AU18" s="264"/>
      <c r="AV18" s="14"/>
      <c r="AW18" s="14"/>
      <c r="AX18" s="14"/>
      <c r="AY18" s="14"/>
      <c r="AZ18" s="14"/>
      <c r="BA18" s="14"/>
      <c r="BB18" s="14"/>
      <c r="BC18" s="14"/>
      <c r="BD18" s="14"/>
      <c r="BE18" s="14"/>
      <c r="BF18" s="14"/>
      <c r="BG18" s="14"/>
      <c r="BH18" s="14"/>
      <c r="BI18" s="14"/>
      <c r="BJ18" s="14"/>
      <c r="BK18" s="14"/>
      <c r="BL18" s="14"/>
      <c r="BM18" s="14"/>
      <c r="BN18" s="14"/>
      <c r="BO18" s="14"/>
    </row>
    <row r="19" spans="1:67" ht="17.75" thickBot="1">
      <c r="A19" s="316"/>
      <c r="B19" s="133" t="s">
        <v>46</v>
      </c>
      <c r="C19" s="14"/>
      <c r="D19" s="18"/>
      <c r="E19" s="18"/>
      <c r="F19" s="18"/>
      <c r="G19" s="18"/>
      <c r="H19" s="18"/>
      <c r="I19" s="18"/>
      <c r="J19" s="18"/>
      <c r="K19" s="18"/>
      <c r="L19" s="14"/>
      <c r="M19" s="18"/>
      <c r="N19" s="18"/>
      <c r="O19" s="14"/>
      <c r="P19" s="18">
        <f>+P16/D16-1</f>
        <v>0.11831735703971713</v>
      </c>
      <c r="Q19" s="18">
        <f t="shared" ref="Q19" si="3">+Q16/E16-1</f>
        <v>7.9542473789216528E-2</v>
      </c>
      <c r="R19" s="18">
        <f t="shared" ref="R19" si="4">+R16/F16-1</f>
        <v>3.5508350403487432E-2</v>
      </c>
      <c r="S19" s="18">
        <f t="shared" ref="S19" si="5">+S16/G16-1</f>
        <v>1.8716632373348085E-2</v>
      </c>
      <c r="T19" s="18">
        <f t="shared" ref="T19" si="6">+T16/H16-1</f>
        <v>8.0551821719136552E-2</v>
      </c>
      <c r="U19" s="18">
        <f t="shared" ref="U19" si="7">+U16/I16-1</f>
        <v>6.6600936978904457E-2</v>
      </c>
      <c r="V19" s="18">
        <f t="shared" ref="V19" si="8">+V16/J16-1</f>
        <v>2.2666800710431589E-2</v>
      </c>
      <c r="W19" s="18">
        <f t="shared" ref="W19" si="9">+W16/K16-1</f>
        <v>1.6212751916341084E-2</v>
      </c>
      <c r="X19" s="14"/>
      <c r="Y19" s="18">
        <f t="shared" ref="Y19" si="10">+Y16/M16-1</f>
        <v>6.1251603107448593E-2</v>
      </c>
      <c r="Z19" s="18">
        <f t="shared" ref="Z19" si="11">+Z16/N16-1</f>
        <v>4.3671768736764038E-2</v>
      </c>
      <c r="AA19" s="14"/>
      <c r="AB19" s="18">
        <f t="shared" ref="AB19" si="12">+AB16/P16-1</f>
        <v>9.8060110139696954E-2</v>
      </c>
      <c r="AC19" s="18">
        <f t="shared" ref="AC19" si="13">+AC16/Q16-1</f>
        <v>8.9040894164077233E-2</v>
      </c>
      <c r="AD19" s="18">
        <f t="shared" ref="AD19" si="14">+AD16/R16-1</f>
        <v>4.0436466033087148E-2</v>
      </c>
      <c r="AE19" s="18">
        <f t="shared" ref="AE19" si="15">+AE16/S16-1</f>
        <v>3.1994631773192728E-2</v>
      </c>
      <c r="AF19" s="18">
        <f t="shared" ref="AF19" si="16">+AF16/T16-1</f>
        <v>1.3487324533836276E-2</v>
      </c>
      <c r="AG19" s="18">
        <f t="shared" ref="AG19" si="17">+AG16/U16-1</f>
        <v>-3.0895408495615895E-3</v>
      </c>
      <c r="AH19" s="18">
        <f t="shared" ref="AH19" si="18">+AH16/V16-1</f>
        <v>7.0969348633894258E-2</v>
      </c>
      <c r="AI19" s="18">
        <f t="shared" ref="AI19" si="19">+AI16/W16-1</f>
        <v>5.692894653037528E-2</v>
      </c>
      <c r="AJ19" s="14"/>
      <c r="AK19" s="18">
        <f t="shared" ref="AK19:AL19" si="20">+AK16/Y16-1</f>
        <v>5.4242043834655806E-2</v>
      </c>
      <c r="AL19" s="18">
        <f t="shared" si="20"/>
        <v>4.2034066070029352E-2</v>
      </c>
      <c r="AM19" s="14"/>
      <c r="AN19" s="18">
        <f t="shared" ref="AN19:AS19" si="21">+AN16/AB16-1</f>
        <v>4.952858589937037E-2</v>
      </c>
      <c r="AO19" s="18">
        <f t="shared" si="21"/>
        <v>2.432609680407305E-2</v>
      </c>
      <c r="AP19" s="18">
        <f t="shared" si="21"/>
        <v>-4.4013965384251175E-2</v>
      </c>
      <c r="AQ19" s="18">
        <f t="shared" si="21"/>
        <v>-4.8714830974101675E-2</v>
      </c>
      <c r="AR19" s="18">
        <f t="shared" si="21"/>
        <v>-1.1544225948990738E-2</v>
      </c>
      <c r="AS19" s="18">
        <f t="shared" si="21"/>
        <v>-3.0063911482285821E-2</v>
      </c>
      <c r="AT19" s="18">
        <f t="shared" ref="AT19" si="22">+AT16/AH16-1</f>
        <v>0.16765800166446354</v>
      </c>
      <c r="AU19" s="18">
        <f t="shared" ref="AU19" si="23">+AU16/AI16-1</f>
        <v>0.17096960960393215</v>
      </c>
      <c r="AV19" s="14"/>
      <c r="AW19" s="18">
        <f>+AW16/(AB16+AD16+AF16+AH16)-1</f>
        <v>4.2982524041589087E-2</v>
      </c>
      <c r="AX19" s="18">
        <f>+AX16/(AC16+AE16+AG16+AI16)-1</f>
        <v>3.2001646468404532E-2</v>
      </c>
      <c r="AY19" s="14"/>
      <c r="AZ19" s="18">
        <f>+AZ16/AN16-1</f>
        <v>6.3126421576236824E-2</v>
      </c>
      <c r="BA19" s="18">
        <f t="shared" ref="BA19" si="24">+BA16/AO16-1</f>
        <v>5.6981617768390391E-2</v>
      </c>
      <c r="BB19" s="18">
        <f>+BB16/AP16-1</f>
        <v>2.928041107234125E-2</v>
      </c>
      <c r="BC19" s="18">
        <f t="shared" ref="BC19" si="25">+BC16/AQ16-1</f>
        <v>2.2945844526011561E-2</v>
      </c>
      <c r="BD19" s="18">
        <f>+BD16/AR16-1</f>
        <v>3.6716794436928435E-2</v>
      </c>
      <c r="BE19" s="18">
        <f>+BE16/AS16-1</f>
        <v>3.4973694341075001E-2</v>
      </c>
      <c r="BF19" s="14"/>
      <c r="BG19" s="18">
        <f>+BG16/(AN16+AP16+AR16)-1</f>
        <v>4.3185727103631555E-2</v>
      </c>
      <c r="BH19" s="18">
        <f>+BH16/(AO16+AQ16+AS16)-1</f>
        <v>3.8444582578372355E-2</v>
      </c>
      <c r="BI19" s="14"/>
      <c r="BJ19" s="14"/>
      <c r="BK19" s="14"/>
      <c r="BL19" s="14"/>
      <c r="BM19" s="14"/>
      <c r="BN19" s="14"/>
      <c r="BO19" s="14"/>
    </row>
    <row r="20" spans="1:67" ht="25.5" customHeight="1" thickBot="1">
      <c r="A20" s="28"/>
      <c r="B20" s="29"/>
      <c r="C20" s="14"/>
      <c r="D20" s="14"/>
      <c r="E20" s="14"/>
      <c r="F20" s="14"/>
      <c r="G20" s="14"/>
      <c r="H20" s="14"/>
      <c r="I20" s="14"/>
      <c r="J20" s="14"/>
      <c r="K20" s="14"/>
      <c r="L20" s="14"/>
      <c r="M20" s="14"/>
      <c r="N20" s="14"/>
      <c r="O20" s="14"/>
      <c r="P20" s="244"/>
      <c r="Q20" s="244"/>
      <c r="R20" s="244"/>
      <c r="S20" s="244"/>
      <c r="T20" s="244"/>
      <c r="U20" s="244"/>
      <c r="V20" s="244"/>
      <c r="W20" s="244"/>
      <c r="X20" s="14"/>
      <c r="Y20" s="244"/>
      <c r="Z20" s="244"/>
      <c r="AA20" s="14"/>
      <c r="AB20" s="244"/>
      <c r="AC20" s="244"/>
      <c r="AD20" s="244"/>
      <c r="AE20" s="244"/>
      <c r="AF20" s="244"/>
      <c r="AG20" s="244"/>
      <c r="AH20" s="244"/>
      <c r="AI20" s="244"/>
      <c r="AJ20" s="14"/>
      <c r="AK20" s="244"/>
      <c r="AL20" s="244"/>
      <c r="AM20" s="14"/>
      <c r="AN20" s="14"/>
      <c r="AO20" s="14"/>
      <c r="AP20" s="14"/>
      <c r="AQ20" s="14"/>
      <c r="AR20" s="14"/>
      <c r="AS20" s="14"/>
      <c r="AT20" s="14"/>
      <c r="AU20" s="14"/>
      <c r="AV20" s="14"/>
      <c r="AW20" s="244"/>
      <c r="AX20" s="244"/>
      <c r="AY20" s="14"/>
      <c r="AZ20" s="14"/>
      <c r="BA20" s="14"/>
      <c r="BB20" s="14"/>
      <c r="BC20" s="14"/>
      <c r="BD20" s="14"/>
      <c r="BE20" s="14"/>
      <c r="BF20" s="14"/>
      <c r="BG20" s="244"/>
      <c r="BH20" s="244"/>
      <c r="BI20" s="14"/>
      <c r="BJ20" s="14"/>
      <c r="BK20" s="14"/>
      <c r="BL20" s="14"/>
      <c r="BM20" s="14"/>
      <c r="BN20" s="14"/>
      <c r="BO20" s="14"/>
    </row>
    <row r="21" spans="1:67" ht="19.5" customHeight="1" thickBot="1">
      <c r="A21" s="313" t="s">
        <v>47</v>
      </c>
      <c r="B21" s="12" t="s">
        <v>48</v>
      </c>
      <c r="C21" s="14"/>
      <c r="D21" s="180">
        <f>+'Operating Expenses'!B7</f>
        <v>32.411999999999999</v>
      </c>
      <c r="E21" s="181">
        <f>+'Operating Expenses'!B18</f>
        <v>27.791999999999998</v>
      </c>
      <c r="F21" s="181">
        <f>+'Operating Expenses'!C7</f>
        <v>30.148</v>
      </c>
      <c r="G21" s="182">
        <f>+'Operating Expenses'!C18</f>
        <v>26.274999999999999</v>
      </c>
      <c r="H21" s="181">
        <f>+'Operating Expenses'!D7</f>
        <v>33.292999999999999</v>
      </c>
      <c r="I21" s="182">
        <f>+'Operating Expenses'!D18</f>
        <v>29.224</v>
      </c>
      <c r="J21" s="181">
        <f>+'Operating Expenses'!E7</f>
        <v>32.298999999999999</v>
      </c>
      <c r="K21" s="182">
        <f>+'Operating Expenses'!E18</f>
        <v>29.754999999999999</v>
      </c>
      <c r="L21" s="21"/>
      <c r="M21" s="180">
        <f>+'Operating Expenses'!G7</f>
        <v>128.15200000000002</v>
      </c>
      <c r="N21" s="182">
        <f>+'Operating Expenses'!G18</f>
        <v>113.04599999999999</v>
      </c>
      <c r="O21" s="14"/>
      <c r="P21" s="13">
        <f>+'Operating Expenses'!I7</f>
        <v>29.148</v>
      </c>
      <c r="Q21" s="13">
        <f>+'Operating Expenses'!I18</f>
        <v>26.71</v>
      </c>
      <c r="R21" s="13">
        <f>+'Operating Expenses'!J7</f>
        <v>31.792000000000002</v>
      </c>
      <c r="S21" s="13">
        <f>+'Operating Expenses'!J18</f>
        <v>29.57</v>
      </c>
      <c r="T21" s="13">
        <f>+'Operating Expenses'!K7</f>
        <v>31.029</v>
      </c>
      <c r="U21" s="13">
        <f>+'Operating Expenses'!K18</f>
        <v>28.791</v>
      </c>
      <c r="V21" s="13">
        <f>+'Operating Expenses'!L7</f>
        <v>31.321999999999999</v>
      </c>
      <c r="W21" s="13">
        <f>+'Operating Expenses'!L18</f>
        <v>29.262999999999998</v>
      </c>
      <c r="X21" s="14"/>
      <c r="Y21" s="180">
        <f>+'Operating Expenses'!N7</f>
        <v>123.291</v>
      </c>
      <c r="Z21" s="182">
        <f>+'Operating Expenses'!N18</f>
        <v>114.334</v>
      </c>
      <c r="AA21" s="14"/>
      <c r="AB21" s="13">
        <f>+'Operating Expenses'!P7</f>
        <v>30.946999999999999</v>
      </c>
      <c r="AC21" s="13">
        <f>+'Operating Expenses'!P18</f>
        <v>28.167999999999999</v>
      </c>
      <c r="AD21" s="13">
        <f>+'Operating Expenses'!Q7</f>
        <v>33.956000000000003</v>
      </c>
      <c r="AE21" s="13">
        <f>+'Operating Expenses'!Q18</f>
        <v>29.512000000000004</v>
      </c>
      <c r="AF21" s="13">
        <f>+'Operating Expenses'!R7</f>
        <v>32.941000000000003</v>
      </c>
      <c r="AG21" s="13">
        <f>+'Operating Expenses'!R18</f>
        <v>28.882000000000001</v>
      </c>
      <c r="AH21" s="13">
        <f>+'Operating Expenses'!S7</f>
        <v>32.799999999999997</v>
      </c>
      <c r="AI21" s="13">
        <f>+'Operating Expenses'!S18</f>
        <v>29.083999999999996</v>
      </c>
      <c r="AJ21" s="14"/>
      <c r="AK21" s="13">
        <f>+'Operating Expenses'!U7</f>
        <v>130.64400000000001</v>
      </c>
      <c r="AL21" s="13">
        <f>+'Operating Expenses'!U18</f>
        <v>115.64600000000002</v>
      </c>
      <c r="AM21" s="14"/>
      <c r="AN21" s="13">
        <f>+'Operating Expenses'!W7</f>
        <v>31.782</v>
      </c>
      <c r="AO21" s="13">
        <f>+'Operating Expenses'!W18</f>
        <v>29.256</v>
      </c>
      <c r="AP21" s="13">
        <f>+'Operating Expenses'!X7</f>
        <v>34.057000000000002</v>
      </c>
      <c r="AQ21" s="13">
        <f>+'Operating Expenses'!X18</f>
        <v>28.751000000000001</v>
      </c>
      <c r="AR21" s="13">
        <f>+'Operating Expenses'!Y7</f>
        <v>32.084000000000003</v>
      </c>
      <c r="AS21" s="13">
        <f>+'Operating Expenses'!Y18</f>
        <v>29.038000000000004</v>
      </c>
      <c r="AT21" s="13">
        <f>+'Operating Expenses'!Z7</f>
        <v>35.881</v>
      </c>
      <c r="AU21" s="13">
        <f>+'Operating Expenses'!Z18</f>
        <v>32.731000000000002</v>
      </c>
      <c r="AV21" s="14"/>
      <c r="AW21" s="13">
        <f>+'Operating Expenses'!AB7</f>
        <v>133.804</v>
      </c>
      <c r="AX21" s="13">
        <f>+'Operating Expenses'!AB18</f>
        <v>119.77600000000001</v>
      </c>
      <c r="AY21" s="14"/>
      <c r="AZ21" s="13">
        <f>+'Operating Expenses'!AD7</f>
        <v>36.729999999999997</v>
      </c>
      <c r="BA21" s="13">
        <f>+'Operating Expenses'!AD18</f>
        <v>31.722999999999999</v>
      </c>
      <c r="BB21" s="13">
        <f>+'Operating Expenses'!AE7</f>
        <v>35.357999999999997</v>
      </c>
      <c r="BC21" s="13">
        <f>+'Operating Expenses'!AE18</f>
        <v>30.706999999999997</v>
      </c>
      <c r="BD21" s="13">
        <f>+'Operating Expenses'!AF7</f>
        <v>37.735999999999997</v>
      </c>
      <c r="BE21" s="13">
        <f>+'Operating Expenses'!AF18</f>
        <v>34.095999999999997</v>
      </c>
      <c r="BF21" s="14"/>
      <c r="BG21" s="13">
        <f>+'Operating Expenses'!AH7</f>
        <v>109.82399999999998</v>
      </c>
      <c r="BH21" s="13">
        <f>+'Operating Expenses'!AH18</f>
        <v>96.525999999999982</v>
      </c>
      <c r="BI21" s="14"/>
      <c r="BJ21" s="320" t="s">
        <v>49</v>
      </c>
      <c r="BK21" s="14"/>
      <c r="BL21" s="14"/>
      <c r="BM21" s="14"/>
      <c r="BN21" s="14"/>
      <c r="BO21" s="14"/>
    </row>
    <row r="22" spans="1:67" s="27" customFormat="1" ht="19.5" customHeight="1" thickBot="1">
      <c r="A22" s="314"/>
      <c r="B22" s="24" t="s">
        <v>50</v>
      </c>
      <c r="C22" s="17"/>
      <c r="D22" s="173">
        <f>+'Operating Expenses'!B8</f>
        <v>0.17399999999999999</v>
      </c>
      <c r="E22" s="18">
        <f>+'Operating Expenses'!B19</f>
        <v>0.14699999999999999</v>
      </c>
      <c r="F22" s="18">
        <f>+'Operating Expenses'!C8</f>
        <v>0.14799999999999999</v>
      </c>
      <c r="G22" s="174">
        <f>+'Operating Expenses'!C19</f>
        <v>0.127</v>
      </c>
      <c r="H22" s="18">
        <f>+'Operating Expenses'!D8</f>
        <v>0.155</v>
      </c>
      <c r="I22" s="174">
        <f>+'Operating Expenses'!D19</f>
        <v>0.13400000000000001</v>
      </c>
      <c r="J22" s="18">
        <f>+'Operating Expenses'!E8</f>
        <v>0.14399999999999999</v>
      </c>
      <c r="K22" s="174">
        <f>+'Operating Expenses'!E19</f>
        <v>0.13100000000000001</v>
      </c>
      <c r="L22" s="162"/>
      <c r="M22" s="173">
        <f>+'Operating Expenses'!G8</f>
        <v>0.154</v>
      </c>
      <c r="N22" s="174">
        <f>+'Operating Expenses'!G19</f>
        <v>0.13400000000000001</v>
      </c>
      <c r="O22" s="17"/>
      <c r="P22" s="18">
        <f>+'Operating Expenses'!I8</f>
        <v>0.14499999999999999</v>
      </c>
      <c r="Q22" s="18">
        <f>+'Operating Expenses'!I19</f>
        <v>0.13200000000000001</v>
      </c>
      <c r="R22" s="18">
        <f>+'Operating Expenses'!J8</f>
        <v>0.14799999999999999</v>
      </c>
      <c r="S22" s="18">
        <f>+'Operating Expenses'!J19</f>
        <v>0.13700000000000001</v>
      </c>
      <c r="T22" s="18">
        <f>+'Operating Expenses'!K8</f>
        <v>0.13800000000000001</v>
      </c>
      <c r="U22" s="18">
        <f>+'Operating Expenses'!K19</f>
        <v>0.127</v>
      </c>
      <c r="V22" s="18">
        <f>+'Operating Expenses'!L8</f>
        <v>0.13400000000000001</v>
      </c>
      <c r="W22" s="18">
        <f>+'Operating Expenses'!L19</f>
        <v>0.124</v>
      </c>
      <c r="X22" s="17"/>
      <c r="Y22" s="173">
        <f>+'Operating Expenses'!N8</f>
        <v>0.14099999999999999</v>
      </c>
      <c r="Z22" s="174">
        <f>+'Operating Expenses'!N19</f>
        <v>0.13</v>
      </c>
      <c r="AA22" s="17"/>
      <c r="AB22" s="18">
        <f>+'Operating Expenses'!P8</f>
        <v>0.14199999999999999</v>
      </c>
      <c r="AC22" s="18">
        <f>+'Operating Expenses'!P19</f>
        <v>0.128</v>
      </c>
      <c r="AD22" s="18">
        <f>+'Operating Expenses'!Q8</f>
        <v>0.152</v>
      </c>
      <c r="AE22" s="18">
        <f>+'Operating Expenses'!Q19</f>
        <v>0.13200000000000001</v>
      </c>
      <c r="AF22" s="18">
        <f>+'Operating Expenses'!R8</f>
        <v>0.14599999999999999</v>
      </c>
      <c r="AG22" s="18">
        <f>+'Operating Expenses'!R19</f>
        <v>0.128</v>
      </c>
      <c r="AH22" s="18">
        <f>+'Operating Expenses'!S8</f>
        <v>0.13900000000000001</v>
      </c>
      <c r="AI22" s="18">
        <f>+'Operating Expenses'!S19</f>
        <v>0.123</v>
      </c>
      <c r="AJ22" s="17"/>
      <c r="AK22" s="18">
        <f>+'Operating Expenses'!U8</f>
        <v>0.14499999999999999</v>
      </c>
      <c r="AL22" s="18">
        <f>+'Operating Expenses'!U19</f>
        <v>0.128</v>
      </c>
      <c r="AM22" s="17"/>
      <c r="AN22" s="18">
        <f>+'Operating Expenses'!W8</f>
        <v>0.14699999999999999</v>
      </c>
      <c r="AO22" s="18">
        <f>+'Operating Expenses'!W19</f>
        <v>0.13500000000000001</v>
      </c>
      <c r="AP22" s="18">
        <f>+'Operating Expenses'!X8</f>
        <v>0.16200000000000001</v>
      </c>
      <c r="AQ22" s="18">
        <f>+'Operating Expenses'!X19</f>
        <v>0.13700000000000001</v>
      </c>
      <c r="AR22" s="18">
        <f>+'Operating Expenses'!Y8</f>
        <v>0.14699999999999999</v>
      </c>
      <c r="AS22" s="18">
        <f>+'Operating Expenses'!Y19</f>
        <v>0.13300000000000001</v>
      </c>
      <c r="AT22" s="18">
        <f>+'Operating Expenses'!Z8</f>
        <v>0.13500000000000001</v>
      </c>
      <c r="AU22" s="18">
        <f>+'Operating Expenses'!Z19</f>
        <v>0.123</v>
      </c>
      <c r="AV22" s="17"/>
      <c r="AW22" s="18">
        <f>+'Operating Expenses'!AB8</f>
        <v>0.14699999999999999</v>
      </c>
      <c r="AX22" s="18">
        <f>+'Operating Expenses'!AB19</f>
        <v>0.13100000000000001</v>
      </c>
      <c r="AY22" s="17"/>
      <c r="AZ22" s="18">
        <f>+'Operating Expenses'!AD8</f>
        <v>0.16600000000000001</v>
      </c>
      <c r="BA22" s="18">
        <f>+'Operating Expenses'!AD19</f>
        <v>0.14299999999999999</v>
      </c>
      <c r="BB22" s="18">
        <f>+'Operating Expenses'!AE8</f>
        <v>0.16800000000000001</v>
      </c>
      <c r="BC22" s="18">
        <f>+'Operating Expenses'!AE19</f>
        <v>0.14599999999999999</v>
      </c>
      <c r="BD22" s="18">
        <f>+'Operating Expenses'!AF8</f>
        <v>0.16800000000000001</v>
      </c>
      <c r="BE22" s="18">
        <f>+'Operating Expenses'!AF19</f>
        <v>0.152</v>
      </c>
      <c r="BF22" s="17"/>
      <c r="BG22" s="18">
        <f>+'Operating Expenses'!AH8</f>
        <v>0.16800000000000001</v>
      </c>
      <c r="BH22" s="18">
        <f>+'Operating Expenses'!AH19</f>
        <v>0.14699999999999999</v>
      </c>
      <c r="BI22" s="17"/>
      <c r="BJ22" s="321"/>
      <c r="BK22" s="17"/>
      <c r="BL22" s="17"/>
      <c r="BM22" s="17"/>
      <c r="BN22" s="17"/>
      <c r="BO22" s="17"/>
    </row>
    <row r="23" spans="1:67" ht="19.5" customHeight="1" thickBot="1">
      <c r="A23" s="314"/>
      <c r="B23" s="12" t="s">
        <v>51</v>
      </c>
      <c r="C23" s="14"/>
      <c r="D23" s="171">
        <f>+'Operating Expenses'!B23</f>
        <v>76.826999999999998</v>
      </c>
      <c r="E23" s="13">
        <f>+'Operating Expenses'!B36</f>
        <v>60.563000000000002</v>
      </c>
      <c r="F23" s="13">
        <f>+'Operating Expenses'!C23</f>
        <v>77.739000000000004</v>
      </c>
      <c r="G23" s="172">
        <f>+'Operating Expenses'!C36</f>
        <v>56.406999999999996</v>
      </c>
      <c r="H23" s="13">
        <f>+'Operating Expenses'!D23</f>
        <v>80.167000000000002</v>
      </c>
      <c r="I23" s="172">
        <f>+'Operating Expenses'!D36</f>
        <v>58.507000000000005</v>
      </c>
      <c r="J23" s="13">
        <f>+'Operating Expenses'!E23</f>
        <v>92.611999999999995</v>
      </c>
      <c r="K23" s="172">
        <f>+'Operating Expenses'!E36</f>
        <v>70.781999999999996</v>
      </c>
      <c r="L23" s="21"/>
      <c r="M23" s="171">
        <f>+'Operating Expenses'!G23</f>
        <v>327.34500000000003</v>
      </c>
      <c r="N23" s="172">
        <f>+'Operating Expenses'!G36</f>
        <v>246.25900000000001</v>
      </c>
      <c r="O23" s="14"/>
      <c r="P23" s="13">
        <f>+'Operating Expenses'!I23</f>
        <v>87.646000000000001</v>
      </c>
      <c r="Q23" s="13">
        <f>+'Operating Expenses'!I36</f>
        <v>66.456000000000003</v>
      </c>
      <c r="R23" s="13">
        <f>+'Operating Expenses'!J23</f>
        <v>91.376000000000005</v>
      </c>
      <c r="S23" s="13">
        <f>+'Operating Expenses'!J36</f>
        <v>67.665000000000006</v>
      </c>
      <c r="T23" s="13">
        <f>+'Operating Expenses'!K23</f>
        <v>89.778000000000006</v>
      </c>
      <c r="U23" s="13">
        <f>+'Operating Expenses'!K36</f>
        <v>70.938000000000002</v>
      </c>
      <c r="V23" s="13">
        <f>+'Operating Expenses'!L23</f>
        <v>108.008</v>
      </c>
      <c r="W23" s="13">
        <f>+'Operating Expenses'!L36</f>
        <v>79.562999999999988</v>
      </c>
      <c r="X23" s="14"/>
      <c r="Y23" s="171">
        <f>+'Operating Expenses'!N23</f>
        <v>376.80799999999999</v>
      </c>
      <c r="Z23" s="172">
        <f>+'Operating Expenses'!N36</f>
        <v>284.62200000000001</v>
      </c>
      <c r="AA23" s="14"/>
      <c r="AB23" s="13">
        <f>+'Operating Expenses'!P23</f>
        <v>102.88200000000001</v>
      </c>
      <c r="AC23" s="13">
        <f>+'Operating Expenses'!P36</f>
        <v>75.900000000000006</v>
      </c>
      <c r="AD23" s="13">
        <f>+'Operating Expenses'!Q23</f>
        <v>105.705</v>
      </c>
      <c r="AE23" s="13">
        <f>+'Operating Expenses'!Q36</f>
        <v>76.60799999999999</v>
      </c>
      <c r="AF23" s="13">
        <f>+'Operating Expenses'!R23</f>
        <v>93.757000000000005</v>
      </c>
      <c r="AG23" s="13">
        <f>+'Operating Expenses'!R36</f>
        <v>73.213000000000008</v>
      </c>
      <c r="AH23" s="13">
        <f>+'Operating Expenses'!S23</f>
        <v>90.594999999999999</v>
      </c>
      <c r="AI23" s="13">
        <f>+'Operating Expenses'!S36</f>
        <v>78.468999999999994</v>
      </c>
      <c r="AJ23" s="14"/>
      <c r="AK23" s="13">
        <f>+'Operating Expenses'!U23</f>
        <v>392.93899999999996</v>
      </c>
      <c r="AL23" s="13">
        <f>+'Operating Expenses'!U36</f>
        <v>304.19</v>
      </c>
      <c r="AM23" s="14"/>
      <c r="AN23" s="13">
        <f>+'Operating Expenses'!W23</f>
        <v>101.279</v>
      </c>
      <c r="AO23" s="13">
        <f>+'Operating Expenses'!W36</f>
        <v>77.119</v>
      </c>
      <c r="AP23" s="13">
        <f>+'Operating Expenses'!X23</f>
        <v>108.374</v>
      </c>
      <c r="AQ23" s="13">
        <f>+'Operating Expenses'!X36</f>
        <v>76.688000000000002</v>
      </c>
      <c r="AR23" s="13">
        <f>+'Operating Expenses'!Y23</f>
        <v>87.879000000000005</v>
      </c>
      <c r="AS23" s="13">
        <f>+'Operating Expenses'!Y36</f>
        <v>73.259</v>
      </c>
      <c r="AT23" s="13">
        <f>+'Operating Expenses'!Z23</f>
        <v>108.383</v>
      </c>
      <c r="AU23" s="13">
        <f>+'Operating Expenses'!Z36</f>
        <v>82.381</v>
      </c>
      <c r="AV23" s="14"/>
      <c r="AW23" s="13">
        <f>+'Operating Expenses'!AB23</f>
        <v>405.91499999999996</v>
      </c>
      <c r="AX23" s="13">
        <f>+'Operating Expenses'!AB36</f>
        <v>309.447</v>
      </c>
      <c r="AY23" s="14"/>
      <c r="AZ23" s="13">
        <f>+'Operating Expenses'!AD23</f>
        <v>93.275999999999996</v>
      </c>
      <c r="BA23" s="13">
        <f>+'Operating Expenses'!AD36</f>
        <v>78.432999999999993</v>
      </c>
      <c r="BB23" s="13">
        <f>+'Operating Expenses'!AE23</f>
        <v>93.177999999999997</v>
      </c>
      <c r="BC23" s="13">
        <f>+'Operating Expenses'!AE36</f>
        <v>74.697999999999993</v>
      </c>
      <c r="BD23" s="13">
        <f>+'Operating Expenses'!AF23</f>
        <v>95.986999999999995</v>
      </c>
      <c r="BE23" s="13">
        <f>+'Operating Expenses'!AF36</f>
        <v>80.298999999999992</v>
      </c>
      <c r="BF23" s="14"/>
      <c r="BG23" s="13">
        <f>+'Operating Expenses'!AH23</f>
        <v>282.44100000000003</v>
      </c>
      <c r="BH23" s="13">
        <f>+'Operating Expenses'!AH36</f>
        <v>233.43000000000004</v>
      </c>
      <c r="BI23" s="14"/>
      <c r="BJ23" s="321"/>
      <c r="BK23" s="14"/>
      <c r="BL23" s="14"/>
      <c r="BM23" s="14"/>
      <c r="BN23" s="14"/>
      <c r="BO23" s="14"/>
    </row>
    <row r="24" spans="1:67" s="27" customFormat="1" ht="19.5" customHeight="1" thickBot="1">
      <c r="A24" s="319"/>
      <c r="B24" s="24" t="s">
        <v>50</v>
      </c>
      <c r="C24" s="17"/>
      <c r="D24" s="175">
        <f>+'Operating Expenses'!B24</f>
        <v>0.41299999999999998</v>
      </c>
      <c r="E24" s="176">
        <f>+'Operating Expenses'!B37</f>
        <v>0.32</v>
      </c>
      <c r="F24" s="176">
        <f>+'Operating Expenses'!C24</f>
        <v>0.38100000000000001</v>
      </c>
      <c r="G24" s="177">
        <f>+'Operating Expenses'!C37</f>
        <v>0.27200000000000002</v>
      </c>
      <c r="H24" s="176">
        <f>+'Operating Expenses'!D24</f>
        <v>0.372</v>
      </c>
      <c r="I24" s="177">
        <f>+'Operating Expenses'!D37</f>
        <v>0.26900000000000002</v>
      </c>
      <c r="J24" s="176">
        <f>+'Operating Expenses'!E24</f>
        <v>0.41099999999999998</v>
      </c>
      <c r="K24" s="177">
        <f>+'Operating Expenses'!E37</f>
        <v>0.312</v>
      </c>
      <c r="L24" s="162"/>
      <c r="M24" s="175">
        <f>+'Operating Expenses'!G24</f>
        <v>0.39400000000000002</v>
      </c>
      <c r="N24" s="177">
        <f>+'Operating Expenses'!G37</f>
        <v>0.29299999999999998</v>
      </c>
      <c r="O24" s="17"/>
      <c r="P24" s="18">
        <f>+'Operating Expenses'!I24</f>
        <v>0.436</v>
      </c>
      <c r="Q24" s="18">
        <f>+'Operating Expenses'!I37</f>
        <v>0.32900000000000001</v>
      </c>
      <c r="R24" s="18">
        <f>+'Operating Expenses'!J24</f>
        <v>0.42599999999999999</v>
      </c>
      <c r="S24" s="18">
        <f>+'Operating Expenses'!J37</f>
        <v>0.314</v>
      </c>
      <c r="T24" s="18">
        <f>+'Operating Expenses'!K24</f>
        <v>0.39900000000000002</v>
      </c>
      <c r="U24" s="18">
        <f>+'Operating Expenses'!K37</f>
        <v>0.313</v>
      </c>
      <c r="V24" s="18">
        <f>+'Operating Expenses'!L24</f>
        <v>0.46100000000000002</v>
      </c>
      <c r="W24" s="18">
        <f>+'Operating Expenses'!L37</f>
        <v>0.33700000000000002</v>
      </c>
      <c r="X24" s="17"/>
      <c r="Y24" s="175">
        <f>+'Operating Expenses'!N24</f>
        <v>0.43099999999999999</v>
      </c>
      <c r="Z24" s="177">
        <f>+'Operating Expenses'!N37</f>
        <v>0.32300000000000001</v>
      </c>
      <c r="AA24" s="17"/>
      <c r="AB24" s="18">
        <f>+'Operating Expenses'!P24</f>
        <v>0.47199999999999998</v>
      </c>
      <c r="AC24" s="18">
        <f>+'Operating Expenses'!P37</f>
        <v>0.34599999999999997</v>
      </c>
      <c r="AD24" s="18">
        <f>+'Operating Expenses'!Q24</f>
        <v>0.47399999999999998</v>
      </c>
      <c r="AE24" s="18">
        <f>+'Operating Expenses'!Q37</f>
        <v>0.34300000000000003</v>
      </c>
      <c r="AF24" s="18">
        <f>+'Operating Expenses'!R24</f>
        <v>0.41599999999999998</v>
      </c>
      <c r="AG24" s="18">
        <f>+'Operating Expenses'!R37</f>
        <v>0.32500000000000001</v>
      </c>
      <c r="AH24" s="18">
        <f>+'Operating Expenses'!S24</f>
        <v>0.38300000000000001</v>
      </c>
      <c r="AI24" s="18">
        <f>+'Operating Expenses'!S37</f>
        <v>0.33100000000000002</v>
      </c>
      <c r="AJ24" s="17"/>
      <c r="AK24" s="18">
        <f>+'Operating Expenses'!U24</f>
        <v>0.436</v>
      </c>
      <c r="AL24" s="18">
        <f>+'Operating Expenses'!U37</f>
        <v>0.33600000000000002</v>
      </c>
      <c r="AM24" s="17"/>
      <c r="AN24" s="18">
        <f>+'Operating Expenses'!W24</f>
        <v>0.46800000000000003</v>
      </c>
      <c r="AO24" s="18">
        <f>+'Operating Expenses'!W37</f>
        <v>0.35499999999999998</v>
      </c>
      <c r="AP24" s="18">
        <f>+'Operating Expenses'!X24</f>
        <v>0.51600000000000001</v>
      </c>
      <c r="AQ24" s="18">
        <f>+'Operating Expenses'!X37</f>
        <v>0.36399999999999999</v>
      </c>
      <c r="AR24" s="18">
        <f>+'Operating Expenses'!Y24</f>
        <v>0.40200000000000002</v>
      </c>
      <c r="AS24" s="18">
        <f>+'Operating Expenses'!Y37</f>
        <v>0.33500000000000002</v>
      </c>
      <c r="AT24" s="18">
        <f>+'Operating Expenses'!Z24</f>
        <v>0.40899999999999997</v>
      </c>
      <c r="AU24" s="18">
        <f>+'Operating Expenses'!Z37</f>
        <v>0.311</v>
      </c>
      <c r="AV24" s="17"/>
      <c r="AW24" s="18">
        <f>+'Operating Expenses'!AB24</f>
        <v>0.44600000000000001</v>
      </c>
      <c r="AX24" s="18">
        <f>+'Operating Expenses'!AB37</f>
        <v>0.33900000000000002</v>
      </c>
      <c r="AY24" s="17"/>
      <c r="AZ24" s="18">
        <f>+'Operating Expenses'!AD24</f>
        <v>0.42199999999999999</v>
      </c>
      <c r="BA24" s="18">
        <f>+'Operating Expenses'!AD37</f>
        <v>0.35399999999999998</v>
      </c>
      <c r="BB24" s="18">
        <f>+'Operating Expenses'!AE24</f>
        <v>0.443</v>
      </c>
      <c r="BC24" s="18">
        <f>+'Operating Expenses'!AE37</f>
        <v>0.35499999999999998</v>
      </c>
      <c r="BD24" s="18">
        <f>+'Operating Expenses'!AF24</f>
        <v>0.42799999999999999</v>
      </c>
      <c r="BE24" s="18">
        <f>+'Operating Expenses'!AF37</f>
        <v>0.35799999999999998</v>
      </c>
      <c r="BF24" s="17"/>
      <c r="BG24" s="18">
        <f>+'Operating Expenses'!AH24</f>
        <v>0.43099999999999999</v>
      </c>
      <c r="BH24" s="18">
        <f>+'Operating Expenses'!AH37</f>
        <v>0.35599999999999998</v>
      </c>
      <c r="BI24" s="17"/>
      <c r="BJ24" s="322"/>
      <c r="BK24" s="17"/>
      <c r="BL24" s="17"/>
      <c r="BM24" s="17"/>
      <c r="BN24" s="17"/>
      <c r="BO24" s="17"/>
    </row>
    <row r="25" spans="1:67" ht="25.5" customHeight="1" thickBot="1">
      <c r="A25" s="28"/>
      <c r="B25" s="2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row>
    <row r="26" spans="1:67" ht="19.5" customHeight="1" thickBot="1">
      <c r="A26" s="339" t="s">
        <v>52</v>
      </c>
      <c r="B26" s="132" t="s">
        <v>53</v>
      </c>
      <c r="D26" s="189">
        <f>+'Operating Margins'!B6</f>
        <v>-2.0409999999999999</v>
      </c>
      <c r="E26" s="190">
        <f>+'Operating Margins'!B22</f>
        <v>37.452000000000005</v>
      </c>
      <c r="F26" s="190">
        <f>+'Operating Margins'!C6</f>
        <v>21.573</v>
      </c>
      <c r="G26" s="191">
        <f>+'Operating Margins'!C22</f>
        <v>63.605000000000032</v>
      </c>
      <c r="H26" s="190">
        <f>+'Operating Margins'!D6</f>
        <v>20.056999999999999</v>
      </c>
      <c r="I26" s="191">
        <f>+'Operating Margins'!D22</f>
        <v>63.393000000000001</v>
      </c>
      <c r="J26" s="190">
        <f>+'Operating Margins'!E6</f>
        <v>17.832999999999998</v>
      </c>
      <c r="K26" s="191">
        <f>+'Operating Margins'!E22</f>
        <v>57.05499999999995</v>
      </c>
      <c r="L26" s="165"/>
      <c r="M26" s="189">
        <f>+'Operating Margins'!G6</f>
        <v>57.421999999999997</v>
      </c>
      <c r="N26" s="191">
        <f>+'Operating Margins'!G22</f>
        <v>221.505</v>
      </c>
      <c r="P26" s="30">
        <f>+'Operating Margins'!I6</f>
        <v>4.4420000000000002</v>
      </c>
      <c r="Q26" s="30">
        <f>+'Operating Margins'!I22</f>
        <v>42.64800000000001</v>
      </c>
      <c r="R26" s="30">
        <f>+'Operating Margins'!J6</f>
        <v>11.537000000000001</v>
      </c>
      <c r="S26" s="30">
        <f>+'Operating Margins'!J22</f>
        <v>51.79</v>
      </c>
      <c r="T26" s="30">
        <f>+'Operating Margins'!K6</f>
        <v>24.667999999999999</v>
      </c>
      <c r="U26" s="30">
        <f>+'Operating Margins'!K22</f>
        <v>61.459999999999994</v>
      </c>
      <c r="V26" s="30">
        <f>+'Operating Margins'!L6</f>
        <v>6.1959999999999997</v>
      </c>
      <c r="W26" s="30">
        <f>+'Operating Margins'!L22</f>
        <v>51.320999999999998</v>
      </c>
      <c r="Y26" s="189">
        <f>+'Operating Margins'!N6</f>
        <v>46.842999999999996</v>
      </c>
      <c r="Z26" s="191">
        <f>+'Operating Margins'!N22</f>
        <v>207.21900000000002</v>
      </c>
      <c r="AB26" s="30">
        <f>+'Operating Margins'!P6</f>
        <v>0.498</v>
      </c>
      <c r="AC26" s="30">
        <f>+'Operating Margins'!P22</f>
        <v>43.83900000000002</v>
      </c>
      <c r="AD26" s="30">
        <f>+'Operating Margins'!Q6</f>
        <v>1.51</v>
      </c>
      <c r="AE26" s="30">
        <f>+'Operating Margins'!Q22</f>
        <v>47.673000000000023</v>
      </c>
      <c r="AF26" s="30">
        <f>+'Operating Margins'!R6</f>
        <v>21.678000000000001</v>
      </c>
      <c r="AG26" s="30">
        <f>+'Operating Margins'!R22</f>
        <v>58.595999999999975</v>
      </c>
      <c r="AH26" s="30">
        <f>+'Operating Margins'!S6</f>
        <v>33.67</v>
      </c>
      <c r="AI26" s="30">
        <f>+'Operating Margins'!S22</f>
        <v>61.71100000000002</v>
      </c>
      <c r="AK26" s="30">
        <f>+'Operating Margins'!U6</f>
        <v>57.356000000000002</v>
      </c>
      <c r="AL26" s="30">
        <f>+'Operating Margins'!U22</f>
        <v>211.81900000000002</v>
      </c>
      <c r="AN26" s="30">
        <f>+'Operating Margins'!W6</f>
        <v>8.7720000000000002</v>
      </c>
      <c r="AO26" s="30">
        <f>+'Operating Margins'!W22</f>
        <v>45.129999999999953</v>
      </c>
      <c r="AP26" s="263">
        <f>+'Operating Margins'!X6</f>
        <v>-7.5119999999999996</v>
      </c>
      <c r="AQ26" s="30">
        <f>+'Operating Margins'!X22</f>
        <v>40.861999999999981</v>
      </c>
      <c r="AR26" s="263">
        <f>+'Operating Margins'!Y6</f>
        <v>26.718</v>
      </c>
      <c r="AS26" s="30">
        <f>+'Operating Margins'!Y22</f>
        <v>53.562999999999946</v>
      </c>
      <c r="AT26" s="263">
        <f>+'Operating Margins'!Z6</f>
        <v>40.207000000000001</v>
      </c>
      <c r="AU26" s="30">
        <f>+'Operating Margins'!Z22</f>
        <v>83.091000000000051</v>
      </c>
      <c r="AW26" s="30">
        <f>+'Operating Margins'!AB6</f>
        <v>68.185000000000002</v>
      </c>
      <c r="AX26" s="30">
        <f>+'Operating Margins'!AB22</f>
        <v>222.64599999999993</v>
      </c>
      <c r="AZ26" s="30">
        <f>+'Operating Margins'!AD6</f>
        <v>24.445</v>
      </c>
      <c r="BA26" s="30">
        <f>+'Operating Margins'!AD22</f>
        <v>49.981999999999999</v>
      </c>
      <c r="BB26" s="30">
        <f>+'Operating Margins'!AE6</f>
        <v>13.87</v>
      </c>
      <c r="BC26" s="30">
        <f>+'Operating Margins'!AE22</f>
        <v>44.252999999999993</v>
      </c>
      <c r="BD26" s="30">
        <f>+'Operating Margins'!AF6</f>
        <v>21.748000000000001</v>
      </c>
      <c r="BE26" s="30">
        <f>+'Operating Margins'!AF22</f>
        <v>46.915999999999997</v>
      </c>
      <c r="BG26" s="30">
        <f>+'Operating Margins'!AH6</f>
        <v>60.063000000000002</v>
      </c>
      <c r="BH26" s="30">
        <f>+'Operating Margins'!AH22</f>
        <v>141.15100000000001</v>
      </c>
      <c r="BJ26" s="310" t="s">
        <v>54</v>
      </c>
    </row>
    <row r="27" spans="1:67" s="27" customFormat="1" ht="19.5" customHeight="1" thickBot="1">
      <c r="A27" s="340"/>
      <c r="B27" s="133" t="s">
        <v>55</v>
      </c>
      <c r="D27" s="187">
        <f>+'Operating Margins'!B7</f>
        <v>-1.0999999999999999E-2</v>
      </c>
      <c r="E27" s="31">
        <f>+'Operating Margins'!B23</f>
        <v>0.19800000000000001</v>
      </c>
      <c r="F27" s="31">
        <f>+'Operating Margins'!C7</f>
        <v>0.106</v>
      </c>
      <c r="G27" s="188">
        <f>+'Operating Margins'!C23</f>
        <v>0.307</v>
      </c>
      <c r="H27" s="31">
        <f>+'Operating Margins'!D7</f>
        <v>9.2999999999999999E-2</v>
      </c>
      <c r="I27" s="188">
        <f>+'Operating Margins'!D23</f>
        <v>0.29199999999999998</v>
      </c>
      <c r="J27" s="31">
        <f>+'Operating Margins'!E7</f>
        <v>7.9000000000000001E-2</v>
      </c>
      <c r="K27" s="188">
        <f>+'Operating Margins'!E23</f>
        <v>0.251</v>
      </c>
      <c r="L27" s="164"/>
      <c r="M27" s="187">
        <f>+'Operating Margins'!G7</f>
        <v>6.9000000000000006E-2</v>
      </c>
      <c r="N27" s="188">
        <f>+'Operating Margins'!G23</f>
        <v>0.26400000000000001</v>
      </c>
      <c r="P27" s="31">
        <f>+'Operating Margins'!I7</f>
        <v>2.1999999999999999E-2</v>
      </c>
      <c r="Q27" s="31">
        <f>+'Operating Margins'!I23</f>
        <v>0.21099999999999999</v>
      </c>
      <c r="R27" s="31">
        <f>+'Operating Margins'!J7</f>
        <v>5.3999999999999999E-2</v>
      </c>
      <c r="S27" s="31">
        <f>+'Operating Margins'!J23</f>
        <v>0.24</v>
      </c>
      <c r="T27" s="31">
        <f>+'Operating Margins'!K7</f>
        <v>0.11</v>
      </c>
      <c r="U27" s="31">
        <f>+'Operating Margins'!K23</f>
        <v>0.27100000000000002</v>
      </c>
      <c r="V27" s="31">
        <f>+'Operating Margins'!L7</f>
        <v>2.5999999999999999E-2</v>
      </c>
      <c r="W27" s="31">
        <f>+'Operating Margins'!L23</f>
        <v>0.217</v>
      </c>
      <c r="Y27" s="187">
        <f>+'Operating Margins'!N7</f>
        <v>5.3999999999999999E-2</v>
      </c>
      <c r="Z27" s="188">
        <f>+'Operating Margins'!N23</f>
        <v>0.23499999999999999</v>
      </c>
      <c r="AB27" s="31">
        <f>+'Operating Margins'!P7</f>
        <v>2E-3</v>
      </c>
      <c r="AC27" s="31">
        <f>+'Operating Margins'!P23</f>
        <v>0.2</v>
      </c>
      <c r="AD27" s="31">
        <f>+'Operating Margins'!Q7</f>
        <v>7.0000000000000001E-3</v>
      </c>
      <c r="AE27" s="31">
        <f>+'Operating Margins'!Q23</f>
        <v>0.21299999999999999</v>
      </c>
      <c r="AF27" s="31">
        <f>+'Operating Margins'!R7</f>
        <v>9.6000000000000002E-2</v>
      </c>
      <c r="AG27" s="31">
        <f>+'Operating Margins'!R23</f>
        <v>0.26</v>
      </c>
      <c r="AH27" s="31">
        <f>+'Operating Margins'!S7</f>
        <v>0.14299999999999999</v>
      </c>
      <c r="AI27" s="31">
        <f>+'Operating Margins'!S23</f>
        <v>0.26100000000000001</v>
      </c>
      <c r="AK27" s="31">
        <f>+'Operating Margins'!U7</f>
        <v>6.4000000000000001E-2</v>
      </c>
      <c r="AL27" s="31">
        <f>+'Operating Margins'!U23</f>
        <v>0.23400000000000001</v>
      </c>
      <c r="AN27" s="31">
        <f>+'Operating Margins'!W7</f>
        <v>4.1000000000000002E-2</v>
      </c>
      <c r="AO27" s="31">
        <f>+'Operating Margins'!W23</f>
        <v>0.20799999999999999</v>
      </c>
      <c r="AP27" s="31">
        <f>+'Operating Margins'!X7</f>
        <v>-3.5999999999999997E-2</v>
      </c>
      <c r="AQ27" s="31">
        <f>+'Operating Margins'!X23</f>
        <v>0.19400000000000001</v>
      </c>
      <c r="AR27" s="31">
        <f>+'Operating Margins'!Y7</f>
        <v>0.122</v>
      </c>
      <c r="AS27" s="31">
        <f>+'Operating Margins'!Y23</f>
        <v>0.245</v>
      </c>
      <c r="AT27" s="31">
        <f>+'Operating Margins'!Z7</f>
        <v>0.152</v>
      </c>
      <c r="AU27" s="31">
        <f>+'Operating Margins'!Z23</f>
        <v>0.313</v>
      </c>
      <c r="AW27" s="31">
        <f>+'Operating Margins'!AB7</f>
        <v>7.4999999999999997E-2</v>
      </c>
      <c r="AX27" s="31">
        <f>+'Operating Margins'!AB23</f>
        <v>0.24399999999999999</v>
      </c>
      <c r="AZ27" s="31">
        <f>+'Operating Margins'!AD7</f>
        <v>0.11</v>
      </c>
      <c r="BA27" s="31">
        <f>+'Operating Margins'!AD23</f>
        <v>0.22600000000000001</v>
      </c>
      <c r="BB27" s="31">
        <f>+'Operating Margins'!AE7</f>
        <v>6.6000000000000003E-2</v>
      </c>
      <c r="BC27" s="31">
        <f>+'Operating Margins'!AE23</f>
        <v>0.21099999999999999</v>
      </c>
      <c r="BD27" s="31">
        <f>+'Operating Margins'!AF7</f>
        <v>9.7000000000000003E-2</v>
      </c>
      <c r="BE27" s="31">
        <f>+'Operating Margins'!AF23</f>
        <v>0.20899999999999999</v>
      </c>
      <c r="BG27" s="31">
        <f>+'Operating Margins'!AH7</f>
        <v>9.1999999999999998E-2</v>
      </c>
      <c r="BH27" s="31">
        <f>+'Operating Margins'!AH23</f>
        <v>0.215</v>
      </c>
      <c r="BJ27" s="311"/>
    </row>
    <row r="28" spans="1:67" ht="19.5" customHeight="1" thickBot="1">
      <c r="A28" s="340"/>
      <c r="B28" s="132" t="s">
        <v>56</v>
      </c>
      <c r="D28" s="192"/>
      <c r="E28" s="30">
        <f>'EBITDA Margins'!B23</f>
        <v>44.356999999999999</v>
      </c>
      <c r="F28" s="32"/>
      <c r="G28" s="193">
        <f>'EBITDA Margins'!C23</f>
        <v>70.55800000000005</v>
      </c>
      <c r="H28" s="32"/>
      <c r="I28" s="193">
        <f>'EBITDA Margins'!D23</f>
        <v>70.103000000000009</v>
      </c>
      <c r="J28" s="32"/>
      <c r="K28" s="193">
        <f>'EBITDA Margins'!E23</f>
        <v>63.740999999999929</v>
      </c>
      <c r="L28" s="163"/>
      <c r="M28" s="192"/>
      <c r="N28" s="193">
        <f>'EBITDA Margins'!G23</f>
        <v>248.75899999999996</v>
      </c>
      <c r="P28" s="32"/>
      <c r="Q28" s="30">
        <f>'EBITDA Margins'!I23</f>
        <v>48.850000000000009</v>
      </c>
      <c r="R28" s="32"/>
      <c r="S28" s="30">
        <f>'EBITDA Margins'!J23</f>
        <v>57.849000000000018</v>
      </c>
      <c r="T28" s="32"/>
      <c r="U28" s="30">
        <f>'EBITDA Margins'!K23</f>
        <v>67.983000000000004</v>
      </c>
      <c r="V28" s="32"/>
      <c r="W28" s="30">
        <f>'EBITDA Margins'!L23</f>
        <v>57.850999999999999</v>
      </c>
      <c r="Y28" s="192"/>
      <c r="Z28" s="193">
        <f>'EBITDA Margins'!N23</f>
        <v>232.53299999999999</v>
      </c>
      <c r="AB28" s="32"/>
      <c r="AC28" s="30">
        <f>'EBITDA Margins'!P23</f>
        <v>50.599000000000018</v>
      </c>
      <c r="AD28" s="32"/>
      <c r="AE28" s="30">
        <f>'EBITDA Margins'!Q23</f>
        <v>54.041000000000025</v>
      </c>
      <c r="AF28" s="32"/>
      <c r="AG28" s="30">
        <f>'EBITDA Margins'!R23</f>
        <v>64.706000000000003</v>
      </c>
      <c r="AH28" s="32"/>
      <c r="AI28" s="30">
        <f>'EBITDA Margins'!S23</f>
        <v>67.968000000000004</v>
      </c>
      <c r="AK28" s="32"/>
      <c r="AL28" s="30">
        <f>'EBITDA Margins'!U23</f>
        <v>237.31400000000008</v>
      </c>
      <c r="AN28" s="32"/>
      <c r="AO28" s="30">
        <f>'EBITDA Margins'!W23</f>
        <v>51.863999999999947</v>
      </c>
      <c r="AP28" s="32"/>
      <c r="AQ28" s="30">
        <f>'EBITDA Margins'!X23</f>
        <v>47.41</v>
      </c>
      <c r="AR28" s="32"/>
      <c r="AS28" s="30">
        <f>'EBITDA Margins'!Y23</f>
        <v>59.236000000000004</v>
      </c>
      <c r="AT28" s="32"/>
      <c r="AU28" s="30">
        <f>'EBITDA Margins'!Z23</f>
        <v>88.7</v>
      </c>
      <c r="AW28" s="32"/>
      <c r="AX28" s="30">
        <f>'EBITDA Margins'!AB23</f>
        <v>247.20999999999998</v>
      </c>
      <c r="AZ28" s="32"/>
      <c r="BA28" s="30">
        <f>'EBITDA Margins'!AD23</f>
        <v>56.305999999999997</v>
      </c>
      <c r="BB28" s="286"/>
      <c r="BC28" s="30">
        <f>'EBITDA Margins'!AE23</f>
        <v>50.522999999999996</v>
      </c>
      <c r="BD28" s="286"/>
      <c r="BE28" s="30">
        <f>'EBITDA Margins'!AF23</f>
        <v>53.467999999999996</v>
      </c>
      <c r="BG28" s="32"/>
      <c r="BH28" s="30">
        <f>'EBITDA Margins'!AH23</f>
        <v>160.297</v>
      </c>
      <c r="BJ28" s="311"/>
    </row>
    <row r="29" spans="1:67" s="27" customFormat="1" ht="19.5" customHeight="1" thickBot="1">
      <c r="A29" s="340"/>
      <c r="B29" s="133" t="s">
        <v>57</v>
      </c>
      <c r="D29" s="194"/>
      <c r="E29" s="31">
        <f>'EBITDA Margins'!B24</f>
        <v>0.23453552374859221</v>
      </c>
      <c r="F29" s="33"/>
      <c r="G29" s="188">
        <f>'EBITDA Margins'!C24</f>
        <v>0.34061965956378615</v>
      </c>
      <c r="H29" s="33"/>
      <c r="I29" s="188">
        <f>'EBITDA Margins'!D24</f>
        <v>0.32238823816159196</v>
      </c>
      <c r="J29" s="33"/>
      <c r="K29" s="188">
        <f>'EBITDA Margins'!E24</f>
        <v>0.2809694041725988</v>
      </c>
      <c r="L29" s="164"/>
      <c r="M29" s="194"/>
      <c r="N29" s="188">
        <f>'EBITDA Margins'!G24</f>
        <v>0.29593627280113916</v>
      </c>
      <c r="P29" s="33"/>
      <c r="Q29" s="31">
        <f>'EBITDA Margins'!I24</f>
        <v>0.24189994206285936</v>
      </c>
      <c r="R29" s="33"/>
      <c r="S29" s="31">
        <f>'EBITDA Margins'!J24</f>
        <v>0.26827899642906838</v>
      </c>
      <c r="T29" s="33"/>
      <c r="U29" s="31">
        <f>'EBITDA Margins'!K24</f>
        <v>0.29957960234083059</v>
      </c>
      <c r="V29" s="33"/>
      <c r="W29" s="31">
        <f>'EBITDA Margins'!L24</f>
        <v>0.24494557094407207</v>
      </c>
      <c r="Y29" s="194"/>
      <c r="Z29" s="188">
        <f>'EBITDA Margins'!N24</f>
        <v>0.26403801607848482</v>
      </c>
      <c r="AB29" s="33"/>
      <c r="AC29" s="31">
        <f>'EBITDA Margins'!P24</f>
        <v>0.23078326468991883</v>
      </c>
      <c r="AD29" s="33"/>
      <c r="AE29" s="31">
        <f>'EBITDA Margins'!Q24</f>
        <v>0.24165254369921887</v>
      </c>
      <c r="AF29" s="33"/>
      <c r="AG29" s="31">
        <f>'EBITDA Margins'!R24</f>
        <v>0.28679703567122905</v>
      </c>
      <c r="AH29" s="33"/>
      <c r="AI29" s="31">
        <f>'EBITDA Margins'!S24</f>
        <v>0.2870864325810662</v>
      </c>
      <c r="AK29" s="33"/>
      <c r="AL29" s="31">
        <f>'EBITDA Margins'!U24</f>
        <v>0.26215386518817524</v>
      </c>
      <c r="AN29" s="33"/>
      <c r="AO29" s="31">
        <f>'EBITDA Margins'!W24</f>
        <v>0.23879222626880217</v>
      </c>
      <c r="AP29" s="33"/>
      <c r="AQ29" s="31">
        <f>'EBITDA Margins'!X24</f>
        <v>0.22532520305883361</v>
      </c>
      <c r="AR29" s="33"/>
      <c r="AS29" s="31">
        <f>'EBITDA Margins'!Y24</f>
        <v>0.27089592851230415</v>
      </c>
      <c r="AT29" s="33"/>
      <c r="AU29" s="31">
        <f>'EBITDA Margins'!Z24</f>
        <v>0.33443933338360604</v>
      </c>
      <c r="AW29" s="33"/>
      <c r="AX29" s="31">
        <f>'EBITDA Margins'!AB24</f>
        <v>0.27121615557874112</v>
      </c>
      <c r="AZ29" s="33"/>
      <c r="BA29" s="31">
        <f>'EBITDA Margins'!AD24</f>
        <v>0.25445934281466215</v>
      </c>
      <c r="BB29" s="287"/>
      <c r="BC29" s="31">
        <f>'EBITDA Margins'!AE24</f>
        <v>0.24039111195698717</v>
      </c>
      <c r="BD29" s="287"/>
      <c r="BE29" s="31">
        <f>'EBITDA Margins'!AF24</f>
        <v>0.23849094307137153</v>
      </c>
      <c r="BG29" s="33"/>
      <c r="BH29" s="31">
        <f>'EBITDA Margins'!AH24</f>
        <v>0.24448935391373314</v>
      </c>
      <c r="BJ29" s="312"/>
    </row>
    <row r="30" spans="1:67" s="27" customFormat="1" ht="19.5" customHeight="1" thickBot="1">
      <c r="A30" s="341"/>
      <c r="B30" s="132" t="s">
        <v>58</v>
      </c>
      <c r="D30" s="195">
        <f>'EPS &amp; DSO'!B6</f>
        <v>-0.23</v>
      </c>
      <c r="E30" s="196">
        <f>'EPS &amp; DSO'!B7</f>
        <v>0.4</v>
      </c>
      <c r="F30" s="196">
        <f>'EPS &amp; DSO'!C6</f>
        <v>-0.18</v>
      </c>
      <c r="G30" s="205">
        <f>'EPS &amp; DSO'!C7</f>
        <v>0.78</v>
      </c>
      <c r="H30" s="196">
        <f>'EPS &amp; DSO'!D6</f>
        <v>-0.08</v>
      </c>
      <c r="I30" s="196">
        <f>'EPS &amp; DSO'!D7</f>
        <v>0.73</v>
      </c>
      <c r="J30" s="196">
        <f>'EPS &amp; DSO'!E6</f>
        <v>-0.39</v>
      </c>
      <c r="K30" s="196">
        <f>'EPS &amp; DSO'!E7</f>
        <v>0.65</v>
      </c>
      <c r="L30" s="166"/>
      <c r="M30" s="196">
        <f>'EPS &amp; DSO'!G6</f>
        <v>-0.88</v>
      </c>
      <c r="N30" s="196">
        <f>'EPS &amp; DSO'!G7</f>
        <v>2.57</v>
      </c>
      <c r="O30" s="206"/>
      <c r="P30" s="135">
        <f>'EPS &amp; DSO'!I6</f>
        <v>-0.04</v>
      </c>
      <c r="Q30" s="135">
        <f>'EPS &amp; DSO'!I7</f>
        <v>0.44</v>
      </c>
      <c r="R30" s="135">
        <f>'EPS &amp; DSO'!J6</f>
        <v>0</v>
      </c>
      <c r="S30" s="135">
        <f>'EPS &amp; DSO'!J7</f>
        <v>0.57999999999999996</v>
      </c>
      <c r="T30" s="135">
        <f>'EPS &amp; DSO'!K6</f>
        <v>0.12</v>
      </c>
      <c r="U30" s="135">
        <f>'EPS &amp; DSO'!K7</f>
        <v>0.69</v>
      </c>
      <c r="V30" s="135">
        <f>'EPS &amp; DSO'!L6</f>
        <v>-0.15</v>
      </c>
      <c r="W30" s="135">
        <f>'EPS &amp; DSO'!L7</f>
        <v>0.56999999999999995</v>
      </c>
      <c r="X30" s="206"/>
      <c r="Y30" s="135">
        <f>'EPS &amp; DSO'!N6</f>
        <v>-7.0000000000000007E-2</v>
      </c>
      <c r="Z30" s="135">
        <f>'EPS &amp; DSO'!N7</f>
        <v>2.2799999999999998</v>
      </c>
      <c r="AA30" s="206"/>
      <c r="AB30" s="135">
        <f>'EPS &amp; DSO'!P6</f>
        <v>-0.08</v>
      </c>
      <c r="AC30" s="135">
        <f>'EPS &amp; DSO'!P7</f>
        <v>0.52</v>
      </c>
      <c r="AD30" s="135">
        <f>'EPS &amp; DSO'!Q6</f>
        <v>-0.12</v>
      </c>
      <c r="AE30" s="135">
        <f>'EPS &amp; DSO'!Q7</f>
        <v>0.56000000000000005</v>
      </c>
      <c r="AF30" s="135">
        <f>'EPS &amp; DSO'!R6</f>
        <v>-0.02</v>
      </c>
      <c r="AG30" s="135">
        <f>'EPS &amp; DSO'!R7</f>
        <v>0.69</v>
      </c>
      <c r="AH30" s="135">
        <f>'EPS &amp; DSO'!S6</f>
        <v>0.12</v>
      </c>
      <c r="AI30" s="135">
        <f>'EPS &amp; DSO'!S7</f>
        <v>0.75</v>
      </c>
      <c r="AJ30" s="135"/>
      <c r="AK30" s="135">
        <f>'EPS &amp; DSO'!U6</f>
        <v>-0.09</v>
      </c>
      <c r="AL30" s="135">
        <f>'EPS &amp; DSO'!U7</f>
        <v>2.52</v>
      </c>
      <c r="AM30" s="206"/>
      <c r="AN30" s="135">
        <f>'EPS &amp; DSO'!W6</f>
        <v>-0.03</v>
      </c>
      <c r="AO30" s="135">
        <f>'EPS &amp; DSO'!W7</f>
        <v>0.53</v>
      </c>
      <c r="AP30" s="135">
        <f>'EPS &amp; DSO'!X6</f>
        <v>-0.17</v>
      </c>
      <c r="AQ30" s="135">
        <f>'EPS &amp; DSO'!X7</f>
        <v>0.48</v>
      </c>
      <c r="AR30" s="135">
        <f>'EPS &amp; DSO'!Y6</f>
        <v>0.12</v>
      </c>
      <c r="AS30" s="135">
        <f>'EPS &amp; DSO'!Y7</f>
        <v>0.65</v>
      </c>
      <c r="AT30" s="135">
        <f>'EPS &amp; DSO'!Z6</f>
        <v>0.37</v>
      </c>
      <c r="AU30" s="135">
        <f>'EPS &amp; DSO'!Z7</f>
        <v>1.07</v>
      </c>
      <c r="AV30" s="206"/>
      <c r="AW30" s="135">
        <f>'EPS &amp; DSO'!AB6</f>
        <v>0.28000000000000003</v>
      </c>
      <c r="AX30" s="135">
        <f>'EPS &amp; DSO'!AB7</f>
        <v>2.73</v>
      </c>
      <c r="AY30" s="280"/>
      <c r="AZ30" s="135">
        <f>'EPS &amp; DSO'!AD6</f>
        <v>0.16</v>
      </c>
      <c r="BA30" s="135">
        <f>'EPS &amp; DSO'!AD7</f>
        <v>0.59</v>
      </c>
      <c r="BB30" s="135">
        <f>'EPS &amp; DSO'!AE6</f>
        <v>0.02</v>
      </c>
      <c r="BC30" s="135">
        <f>'EPS &amp; DSO'!AE7</f>
        <v>0.49</v>
      </c>
      <c r="BD30" s="135">
        <f>'EPS &amp; DSO'!AF6</f>
        <v>0.39</v>
      </c>
      <c r="BE30" s="135">
        <f>'EPS &amp; DSO'!AF7</f>
        <v>0.54</v>
      </c>
      <c r="BG30" s="135">
        <f>'EPS &amp; DSO'!AH6</f>
        <v>0.57999999999999996</v>
      </c>
      <c r="BH30" s="135">
        <f>'EPS &amp; DSO'!AH7</f>
        <v>1.62</v>
      </c>
      <c r="BJ30" s="134" t="s">
        <v>59</v>
      </c>
    </row>
    <row r="31" spans="1:67" ht="16.75">
      <c r="B31" s="34"/>
    </row>
    <row r="32" spans="1:67">
      <c r="AP32" s="265"/>
      <c r="AQ32" s="265"/>
      <c r="AR32" s="265"/>
      <c r="AS32" s="265"/>
    </row>
    <row r="33" spans="1:26" ht="16.75">
      <c r="A33" s="51" t="s">
        <v>60</v>
      </c>
      <c r="B33" s="35"/>
    </row>
    <row r="35" spans="1:26" ht="16.75">
      <c r="B35" s="35"/>
    </row>
    <row r="36" spans="1:26" ht="16.75">
      <c r="B36" s="35"/>
    </row>
    <row r="37" spans="1:26">
      <c r="D37" s="36"/>
      <c r="E37" s="36"/>
      <c r="F37" s="36"/>
      <c r="G37" s="36"/>
      <c r="H37" s="36"/>
      <c r="I37" s="36"/>
      <c r="J37" s="36"/>
      <c r="K37" s="36"/>
      <c r="L37" s="36"/>
      <c r="M37" s="36"/>
      <c r="N37" s="36"/>
      <c r="P37" s="36"/>
      <c r="Q37" s="36"/>
      <c r="R37" s="36"/>
      <c r="S37" s="36"/>
      <c r="T37" s="36"/>
      <c r="U37" s="36"/>
      <c r="V37" s="36"/>
      <c r="W37" s="36"/>
      <c r="Y37" s="36"/>
      <c r="Z37" s="36"/>
    </row>
  </sheetData>
  <mergeCells count="46">
    <mergeCell ref="BG3:BH3"/>
    <mergeCell ref="BG4:BH4"/>
    <mergeCell ref="BB4:BC4"/>
    <mergeCell ref="A26:A30"/>
    <mergeCell ref="AF4:AG4"/>
    <mergeCell ref="AH4:AI4"/>
    <mergeCell ref="AK3:AL3"/>
    <mergeCell ref="AB4:AC4"/>
    <mergeCell ref="AD4:AE4"/>
    <mergeCell ref="AN3:AU3"/>
    <mergeCell ref="AK4:AL4"/>
    <mergeCell ref="AP4:AQ4"/>
    <mergeCell ref="BD4:BE4"/>
    <mergeCell ref="AZ3:BE3"/>
    <mergeCell ref="BJ3:BJ5"/>
    <mergeCell ref="A4:B4"/>
    <mergeCell ref="D4:E4"/>
    <mergeCell ref="F4:G4"/>
    <mergeCell ref="H4:I4"/>
    <mergeCell ref="J4:K4"/>
    <mergeCell ref="M4:N4"/>
    <mergeCell ref="P4:Q4"/>
    <mergeCell ref="A3:B3"/>
    <mergeCell ref="D3:K3"/>
    <mergeCell ref="M3:N3"/>
    <mergeCell ref="P3:W3"/>
    <mergeCell ref="V4:W4"/>
    <mergeCell ref="AW3:AX3"/>
    <mergeCell ref="Y3:Z3"/>
    <mergeCell ref="AB3:AI3"/>
    <mergeCell ref="BJ26:BJ29"/>
    <mergeCell ref="A16:A19"/>
    <mergeCell ref="Y4:Z4"/>
    <mergeCell ref="A21:A24"/>
    <mergeCell ref="BJ21:BJ24"/>
    <mergeCell ref="A5:B5"/>
    <mergeCell ref="A6:A12"/>
    <mergeCell ref="BJ6:BJ8"/>
    <mergeCell ref="AT4:AU4"/>
    <mergeCell ref="AW4:AX4"/>
    <mergeCell ref="AN4:AO4"/>
    <mergeCell ref="AR4:AS4"/>
    <mergeCell ref="BJ16:BJ17"/>
    <mergeCell ref="AZ4:BA4"/>
    <mergeCell ref="R4:S4"/>
    <mergeCell ref="T4:U4"/>
  </mergeCells>
  <pageMargins left="0.25" right="0.25" top="0.75" bottom="0.75" header="0.3" footer="0.3"/>
  <pageSetup scale="3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F16A-EFB9-482A-81A8-EA2C3D156C6C}">
  <sheetPr codeName="Sheet4">
    <tabColor rgb="FF0079FF"/>
    <pageSetUpPr fitToPage="1"/>
  </sheetPr>
  <dimension ref="A1:BO29"/>
  <sheetViews>
    <sheetView showGridLines="0" zoomScale="70" zoomScaleNormal="70" zoomScaleSheetLayoutView="85" workbookViewId="0">
      <pane xSplit="2" ySplit="5" topLeftCell="AT6" activePane="bottomRight" state="frozen"/>
      <selection pane="topRight" activeCell="C1" sqref="C1"/>
      <selection pane="bottomLeft" activeCell="A6" sqref="A6"/>
      <selection pane="bottomRight" activeCell="A3" sqref="A3:BH20"/>
    </sheetView>
  </sheetViews>
  <sheetFormatPr defaultColWidth="9.1328125" defaultRowHeight="14.25" outlineLevelCol="1"/>
  <cols>
    <col min="1" max="1" width="11.40625" style="7" customWidth="1"/>
    <col min="2" max="2" width="80.1328125" style="7" customWidth="1"/>
    <col min="3" max="3" width="1.40625" style="7" customWidth="1"/>
    <col min="4" max="4" width="15.40625" style="7" hidden="1" customWidth="1" outlineLevel="1"/>
    <col min="5" max="5" width="17.86328125" style="7" hidden="1" customWidth="1" outlineLevel="1"/>
    <col min="6" max="6" width="15.40625" style="7" hidden="1" customWidth="1" outlineLevel="1"/>
    <col min="7" max="11" width="17.86328125" style="7" hidden="1" customWidth="1" outlineLevel="1"/>
    <col min="12" max="12" width="2.1328125" style="7" hidden="1" customWidth="1" outlineLevel="1"/>
    <col min="13" max="13" width="15.40625" style="7" customWidth="1" collapsed="1"/>
    <col min="14" max="14" width="17.86328125" style="7" customWidth="1"/>
    <col min="15" max="15" width="1.40625" style="7" customWidth="1"/>
    <col min="16" max="23" width="15.40625" style="7" hidden="1" customWidth="1" outlineLevel="1"/>
    <col min="24" max="24" width="1.40625" style="7" hidden="1" customWidth="1" outlineLevel="1"/>
    <col min="25" max="25" width="15.40625" style="7" customWidth="1" collapsed="1"/>
    <col min="26" max="26" width="17.86328125" style="7" customWidth="1"/>
    <col min="27" max="27" width="1.40625" style="7" customWidth="1"/>
    <col min="28" max="35" width="16.40625" style="7" hidden="1" customWidth="1" outlineLevel="1"/>
    <col min="36" max="36" width="1.40625" style="7" hidden="1" customWidth="1" outlineLevel="1"/>
    <col min="37" max="37" width="16.40625" style="7" customWidth="1" collapsed="1"/>
    <col min="38" max="38" width="16.40625" style="7" customWidth="1"/>
    <col min="39" max="39" width="3.40625" style="7" customWidth="1"/>
    <col min="40" max="45" width="16.40625" style="7" customWidth="1"/>
    <col min="46" max="47" width="14.1328125" style="7" customWidth="1"/>
    <col min="48" max="48" width="3.40625" style="7" customWidth="1"/>
    <col min="49" max="50" width="16.40625" style="7" customWidth="1"/>
    <col min="51" max="51" width="3.40625" style="7" customWidth="1"/>
    <col min="52" max="57" width="16.1328125" style="7" customWidth="1"/>
    <col min="58" max="58" width="3.40625" style="7" customWidth="1"/>
    <col min="59" max="60" width="16.40625" style="7" customWidth="1"/>
    <col min="61" max="61" width="3.40625" style="7" customWidth="1"/>
    <col min="62" max="62" width="45.86328125" style="7" bestFit="1" customWidth="1"/>
    <col min="63" max="63" width="12" style="7" bestFit="1" customWidth="1"/>
    <col min="64" max="16384" width="9.1328125" style="7"/>
  </cols>
  <sheetData>
    <row r="1" spans="1:67" ht="18">
      <c r="A1" s="5" t="s">
        <v>3</v>
      </c>
      <c r="B1" s="6"/>
    </row>
    <row r="2" spans="1:67" ht="15" thickBot="1"/>
    <row r="3" spans="1:67" s="8" customFormat="1" ht="15" customHeight="1" thickBot="1">
      <c r="A3" s="336" t="s">
        <v>18</v>
      </c>
      <c r="B3" s="337"/>
      <c r="D3" s="307" t="s">
        <v>19</v>
      </c>
      <c r="E3" s="308"/>
      <c r="F3" s="308"/>
      <c r="G3" s="308"/>
      <c r="H3" s="308"/>
      <c r="I3" s="308"/>
      <c r="J3" s="308"/>
      <c r="K3" s="309"/>
      <c r="L3" s="167"/>
      <c r="M3" s="307" t="s">
        <v>20</v>
      </c>
      <c r="N3" s="309"/>
      <c r="P3" s="307" t="s">
        <v>19</v>
      </c>
      <c r="Q3" s="308"/>
      <c r="R3" s="308"/>
      <c r="S3" s="308"/>
      <c r="T3" s="308"/>
      <c r="U3" s="308"/>
      <c r="V3" s="308"/>
      <c r="W3" s="309"/>
      <c r="Y3" s="307" t="s">
        <v>20</v>
      </c>
      <c r="Z3" s="309"/>
      <c r="AB3" s="307" t="s">
        <v>19</v>
      </c>
      <c r="AC3" s="308"/>
      <c r="AD3" s="308"/>
      <c r="AE3" s="308"/>
      <c r="AF3" s="308"/>
      <c r="AG3" s="308"/>
      <c r="AH3" s="308"/>
      <c r="AI3" s="309"/>
      <c r="AK3" s="307" t="s">
        <v>20</v>
      </c>
      <c r="AL3" s="309"/>
      <c r="AN3" s="307" t="s">
        <v>21</v>
      </c>
      <c r="AO3" s="308"/>
      <c r="AP3" s="308"/>
      <c r="AQ3" s="308"/>
      <c r="AR3" s="308"/>
      <c r="AS3" s="308"/>
      <c r="AT3" s="308"/>
      <c r="AU3" s="309"/>
      <c r="AW3" s="307" t="s">
        <v>22</v>
      </c>
      <c r="AX3" s="309"/>
      <c r="AZ3" s="307" t="s">
        <v>21</v>
      </c>
      <c r="BA3" s="308"/>
      <c r="BB3" s="308"/>
      <c r="BC3" s="308"/>
      <c r="BD3" s="308"/>
      <c r="BE3" s="309"/>
      <c r="BG3" s="307" t="s">
        <v>318</v>
      </c>
      <c r="BH3" s="309"/>
      <c r="BJ3" s="331" t="s">
        <v>28</v>
      </c>
    </row>
    <row r="4" spans="1:67" s="8" customFormat="1" ht="18.75" customHeight="1" thickBot="1">
      <c r="A4" s="334"/>
      <c r="B4" s="335"/>
      <c r="D4" s="317">
        <v>43951</v>
      </c>
      <c r="E4" s="318"/>
      <c r="F4" s="328">
        <v>44043</v>
      </c>
      <c r="G4" s="318"/>
      <c r="H4" s="328">
        <v>44135</v>
      </c>
      <c r="I4" s="318"/>
      <c r="J4" s="328">
        <v>44227</v>
      </c>
      <c r="K4" s="318"/>
      <c r="L4" s="169"/>
      <c r="M4" s="317">
        <v>44227</v>
      </c>
      <c r="N4" s="318"/>
      <c r="P4" s="328">
        <v>44316</v>
      </c>
      <c r="Q4" s="318"/>
      <c r="R4" s="328">
        <v>44408</v>
      </c>
      <c r="S4" s="318"/>
      <c r="T4" s="328">
        <v>44500</v>
      </c>
      <c r="U4" s="318"/>
      <c r="V4" s="328">
        <v>44592</v>
      </c>
      <c r="W4" s="318"/>
      <c r="Y4" s="317">
        <v>44592</v>
      </c>
      <c r="Z4" s="318"/>
      <c r="AB4" s="328">
        <v>44681</v>
      </c>
      <c r="AC4" s="318"/>
      <c r="AD4" s="328">
        <v>44773</v>
      </c>
      <c r="AE4" s="318"/>
      <c r="AF4" s="328">
        <v>44865</v>
      </c>
      <c r="AG4" s="318"/>
      <c r="AH4" s="328">
        <v>44957</v>
      </c>
      <c r="AI4" s="318"/>
      <c r="AK4" s="328">
        <v>44957</v>
      </c>
      <c r="AL4" s="318"/>
      <c r="AN4" s="328" t="s">
        <v>23</v>
      </c>
      <c r="AO4" s="318"/>
      <c r="AP4" s="328">
        <v>45138</v>
      </c>
      <c r="AQ4" s="318"/>
      <c r="AR4" s="328">
        <v>45230</v>
      </c>
      <c r="AS4" s="318"/>
      <c r="AT4" s="328">
        <v>45322</v>
      </c>
      <c r="AU4" s="318"/>
      <c r="AW4" s="328">
        <v>45322</v>
      </c>
      <c r="AX4" s="318"/>
      <c r="AZ4" s="328">
        <v>45412</v>
      </c>
      <c r="BA4" s="318"/>
      <c r="BB4" s="328">
        <v>45504</v>
      </c>
      <c r="BC4" s="318"/>
      <c r="BD4" s="328">
        <v>45596</v>
      </c>
      <c r="BE4" s="318"/>
      <c r="BG4" s="328">
        <v>45596</v>
      </c>
      <c r="BH4" s="318"/>
      <c r="BJ4" s="332"/>
      <c r="BK4" s="8" t="s">
        <v>29</v>
      </c>
    </row>
    <row r="5" spans="1:67" s="8" customFormat="1" ht="42" customHeight="1" thickBot="1">
      <c r="A5" s="347" t="s">
        <v>24</v>
      </c>
      <c r="B5" s="348"/>
      <c r="D5" s="170" t="s">
        <v>30</v>
      </c>
      <c r="E5" s="11" t="s">
        <v>31</v>
      </c>
      <c r="F5" s="10" t="s">
        <v>30</v>
      </c>
      <c r="G5" s="11" t="s">
        <v>31</v>
      </c>
      <c r="H5" s="10" t="s">
        <v>30</v>
      </c>
      <c r="I5" s="11" t="s">
        <v>31</v>
      </c>
      <c r="J5" s="10" t="s">
        <v>30</v>
      </c>
      <c r="K5" s="11" t="s">
        <v>31</v>
      </c>
      <c r="L5" s="168"/>
      <c r="M5" s="170" t="s">
        <v>30</v>
      </c>
      <c r="N5" s="11" t="s">
        <v>31</v>
      </c>
      <c r="P5" s="9" t="s">
        <v>30</v>
      </c>
      <c r="Q5" s="11" t="s">
        <v>31</v>
      </c>
      <c r="R5" s="9" t="s">
        <v>30</v>
      </c>
      <c r="S5" s="11" t="s">
        <v>31</v>
      </c>
      <c r="T5" s="9" t="s">
        <v>30</v>
      </c>
      <c r="U5" s="11" t="s">
        <v>31</v>
      </c>
      <c r="V5" s="9" t="s">
        <v>30</v>
      </c>
      <c r="W5" s="11" t="s">
        <v>31</v>
      </c>
      <c r="Y5" s="170" t="s">
        <v>30</v>
      </c>
      <c r="Z5" s="11" t="s">
        <v>31</v>
      </c>
      <c r="AB5" s="9" t="s">
        <v>30</v>
      </c>
      <c r="AC5" s="11" t="s">
        <v>31</v>
      </c>
      <c r="AD5" s="9" t="s">
        <v>30</v>
      </c>
      <c r="AE5" s="11" t="s">
        <v>31</v>
      </c>
      <c r="AF5" s="9" t="s">
        <v>30</v>
      </c>
      <c r="AG5" s="11" t="s">
        <v>31</v>
      </c>
      <c r="AH5" s="9" t="s">
        <v>30</v>
      </c>
      <c r="AI5" s="11" t="s">
        <v>31</v>
      </c>
      <c r="AK5" s="9" t="s">
        <v>30</v>
      </c>
      <c r="AL5" s="11" t="s">
        <v>31</v>
      </c>
      <c r="AN5" s="9" t="s">
        <v>30</v>
      </c>
      <c r="AO5" s="11" t="s">
        <v>31</v>
      </c>
      <c r="AP5" s="9" t="s">
        <v>30</v>
      </c>
      <c r="AQ5" s="11" t="s">
        <v>31</v>
      </c>
      <c r="AR5" s="9" t="s">
        <v>30</v>
      </c>
      <c r="AS5" s="11" t="s">
        <v>31</v>
      </c>
      <c r="AT5" s="266" t="s">
        <v>30</v>
      </c>
      <c r="AU5" s="11" t="s">
        <v>31</v>
      </c>
      <c r="AW5" s="9" t="s">
        <v>30</v>
      </c>
      <c r="AX5" s="11" t="s">
        <v>31</v>
      </c>
      <c r="AZ5" s="9" t="s">
        <v>30</v>
      </c>
      <c r="BA5" s="11" t="s">
        <v>31</v>
      </c>
      <c r="BB5" s="9" t="s">
        <v>30</v>
      </c>
      <c r="BC5" s="11" t="s">
        <v>31</v>
      </c>
      <c r="BD5" s="9" t="s">
        <v>30</v>
      </c>
      <c r="BE5" s="11" t="s">
        <v>31</v>
      </c>
      <c r="BG5" s="9" t="s">
        <v>30</v>
      </c>
      <c r="BH5" s="11" t="s">
        <v>31</v>
      </c>
      <c r="BJ5" s="333"/>
    </row>
    <row r="6" spans="1:67" ht="17.5" thickBot="1">
      <c r="A6" s="349" t="s">
        <v>32</v>
      </c>
      <c r="B6" s="26" t="s">
        <v>33</v>
      </c>
      <c r="D6" s="13">
        <f t="shared" ref="D6:K6" si="0">+SUM(D8:D11)</f>
        <v>129.07</v>
      </c>
      <c r="E6" s="13">
        <f t="shared" si="0"/>
        <v>132.33200000000002</v>
      </c>
      <c r="F6" s="13">
        <f t="shared" si="0"/>
        <v>139.267</v>
      </c>
      <c r="G6" s="13">
        <f t="shared" si="0"/>
        <v>142.333</v>
      </c>
      <c r="H6" s="13">
        <f t="shared" si="0"/>
        <v>150.233</v>
      </c>
      <c r="I6" s="13">
        <f t="shared" si="0"/>
        <v>152.46</v>
      </c>
      <c r="J6" s="13">
        <f t="shared" si="0"/>
        <v>157.05400000000003</v>
      </c>
      <c r="K6" s="13">
        <f t="shared" si="0"/>
        <v>158.83499999999998</v>
      </c>
      <c r="L6" s="21"/>
      <c r="M6" s="13">
        <f>+SUM(M8:M11)</f>
        <v>575.62400000000002</v>
      </c>
      <c r="N6" s="13">
        <f>+SUM(N8:N11)</f>
        <v>585.95999999999992</v>
      </c>
      <c r="O6" s="14"/>
      <c r="P6" s="13">
        <f t="shared" ref="P6:W6" si="1">+SUM(P8:P11)</f>
        <v>144.453</v>
      </c>
      <c r="Q6" s="13">
        <f t="shared" si="1"/>
        <v>145.49200000000002</v>
      </c>
      <c r="R6" s="13">
        <f t="shared" si="1"/>
        <v>156.178</v>
      </c>
      <c r="S6" s="13">
        <f t="shared" si="1"/>
        <v>157.191</v>
      </c>
      <c r="T6" s="13">
        <f t="shared" si="1"/>
        <v>158.81100000000001</v>
      </c>
      <c r="U6" s="13">
        <f t="shared" si="1"/>
        <v>160.91899999999998</v>
      </c>
      <c r="V6" s="13">
        <f t="shared" si="1"/>
        <v>173.68700000000001</v>
      </c>
      <c r="W6" s="13">
        <f t="shared" si="1"/>
        <v>175.69800000000001</v>
      </c>
      <c r="X6" s="14"/>
      <c r="Y6" s="13">
        <f>+SUM(Y8:Y11)</f>
        <v>633.12900000000002</v>
      </c>
      <c r="Z6" s="13">
        <f>+SUM(Z8:Z11)</f>
        <v>639.29999999999995</v>
      </c>
      <c r="AA6" s="14"/>
      <c r="AB6" s="13">
        <f t="shared" ref="AB6:AI6" si="2">+SUM(AB8:AB11)</f>
        <v>159.36699999999999</v>
      </c>
      <c r="AC6" s="13">
        <f t="shared" si="2"/>
        <v>160.71</v>
      </c>
      <c r="AD6" s="13">
        <f t="shared" si="2"/>
        <v>166.44</v>
      </c>
      <c r="AE6" s="13">
        <f t="shared" si="2"/>
        <v>167.17200000000003</v>
      </c>
      <c r="AF6" s="13">
        <f t="shared" si="2"/>
        <v>174.22200000000001</v>
      </c>
      <c r="AG6" s="13">
        <f t="shared" si="2"/>
        <v>174.64499999999998</v>
      </c>
      <c r="AH6" s="13">
        <f>+SUM(AH8:AH11)</f>
        <v>185.50799999999998</v>
      </c>
      <c r="AI6" s="13">
        <f t="shared" si="2"/>
        <v>186.012</v>
      </c>
      <c r="AJ6" s="14"/>
      <c r="AK6" s="13">
        <f>+SUM(AK8:AK11)</f>
        <v>685.53700000000003</v>
      </c>
      <c r="AL6" s="13">
        <f>+SUM(AL8:AL11)</f>
        <v>688.53899999999999</v>
      </c>
      <c r="AM6" s="14"/>
      <c r="AN6" s="13">
        <f t="shared" ref="AN6:AS6" si="3">+SUM(AN8:AN11)</f>
        <v>166.43900000000002</v>
      </c>
      <c r="AO6" s="13">
        <f t="shared" si="3"/>
        <v>167.06599999999997</v>
      </c>
      <c r="AP6" s="13">
        <f t="shared" si="3"/>
        <v>160.999</v>
      </c>
      <c r="AQ6" s="13">
        <f t="shared" si="3"/>
        <v>161.24099999999999</v>
      </c>
      <c r="AR6" s="13">
        <f t="shared" si="3"/>
        <v>161.11700000000002</v>
      </c>
      <c r="AS6" s="13">
        <f t="shared" si="3"/>
        <v>161.23699999999999</v>
      </c>
      <c r="AT6" s="13">
        <f>+SUM(AT8:AT11)</f>
        <v>210.69299999999998</v>
      </c>
      <c r="AU6" s="13">
        <f t="shared" ref="AU6" si="4">+SUM(AU8:AU11)</f>
        <v>210.80400000000003</v>
      </c>
      <c r="AV6" s="14"/>
      <c r="AW6" s="13">
        <f>+SUM(AW8:AW11)</f>
        <v>699.24799999999993</v>
      </c>
      <c r="AX6" s="13">
        <f>+SUM(AX8:AX11)</f>
        <v>700.34799999999996</v>
      </c>
      <c r="AY6" s="14"/>
      <c r="AZ6" s="13">
        <f t="shared" ref="AZ6:BB6" si="5">+SUM(AZ8:AZ11)</f>
        <v>173.52800000000002</v>
      </c>
      <c r="BA6" s="13">
        <f>+SUM(BA8:BA11)</f>
        <v>173.52800000000002</v>
      </c>
      <c r="BB6" s="13">
        <f t="shared" si="5"/>
        <v>163.22900000000001</v>
      </c>
      <c r="BC6" s="13">
        <f>+SUM(BC8:BC11)</f>
        <v>163.22900000000001</v>
      </c>
      <c r="BD6" s="13">
        <f t="shared" ref="BD6" si="6">+SUM(BD8:BD11)</f>
        <v>179.85799999999998</v>
      </c>
      <c r="BE6" s="13">
        <f>+SUM(BE8:BE11)</f>
        <v>179.85799999999998</v>
      </c>
      <c r="BF6" s="14"/>
      <c r="BG6" s="13">
        <f>+SUM(BG8:BG11)</f>
        <v>516.61500000000001</v>
      </c>
      <c r="BH6" s="13">
        <f>+SUM(BH8:BH11)</f>
        <v>516.61500000000001</v>
      </c>
      <c r="BI6" s="14"/>
      <c r="BJ6" s="219" t="s">
        <v>34</v>
      </c>
      <c r="BK6" s="14"/>
      <c r="BL6" s="14"/>
      <c r="BM6" s="14"/>
      <c r="BN6" s="14"/>
      <c r="BO6" s="14"/>
    </row>
    <row r="7" spans="1:67" ht="17.5" thickBot="1">
      <c r="A7" s="350"/>
      <c r="B7" s="26" t="s">
        <v>61</v>
      </c>
      <c r="D7" s="171">
        <f t="shared" ref="D7:K7" si="7">+SUM(D8:D9)</f>
        <v>40.887999999999998</v>
      </c>
      <c r="E7" s="13">
        <f t="shared" si="7"/>
        <v>43.814</v>
      </c>
      <c r="F7" s="13">
        <f t="shared" si="7"/>
        <v>48.228999999999999</v>
      </c>
      <c r="G7" s="172">
        <f t="shared" si="7"/>
        <v>50.978999999999999</v>
      </c>
      <c r="H7" s="13">
        <f t="shared" si="7"/>
        <v>58.983000000000004</v>
      </c>
      <c r="I7" s="172">
        <f t="shared" si="7"/>
        <v>60.926999999999992</v>
      </c>
      <c r="J7" s="13">
        <f t="shared" si="7"/>
        <v>69.852000000000004</v>
      </c>
      <c r="K7" s="172">
        <f t="shared" si="7"/>
        <v>71.396999999999991</v>
      </c>
      <c r="L7" s="21"/>
      <c r="M7" s="171">
        <f>+SUM(M8:M9)</f>
        <v>217.952</v>
      </c>
      <c r="N7" s="172">
        <f>+SUM(N8:N9)</f>
        <v>227.11699999999999</v>
      </c>
      <c r="O7" s="14"/>
      <c r="P7" s="13">
        <f t="shared" ref="P7:W7" si="8">+SUM(P8:P9)</f>
        <v>63.591999999999999</v>
      </c>
      <c r="Q7" s="13">
        <f t="shared" si="8"/>
        <v>64.436000000000007</v>
      </c>
      <c r="R7" s="13">
        <f t="shared" si="8"/>
        <v>76.384</v>
      </c>
      <c r="S7" s="13">
        <f t="shared" si="8"/>
        <v>77.256</v>
      </c>
      <c r="T7" s="13">
        <f t="shared" si="8"/>
        <v>82.103000000000009</v>
      </c>
      <c r="U7" s="13">
        <f t="shared" si="8"/>
        <v>84.087999999999994</v>
      </c>
      <c r="V7" s="13">
        <f t="shared" si="8"/>
        <v>100.685</v>
      </c>
      <c r="W7" s="13">
        <f t="shared" si="8"/>
        <v>102.605</v>
      </c>
      <c r="X7" s="14"/>
      <c r="Y7" s="171">
        <f>+SUM(Y8:Y9)</f>
        <v>322.76400000000001</v>
      </c>
      <c r="Z7" s="172">
        <f>+SUM(Z8:Z9)</f>
        <v>328.38499999999999</v>
      </c>
      <c r="AA7" s="14"/>
      <c r="AB7" s="13">
        <f t="shared" ref="AB7:AI7" si="9">+SUM(AB8:AB9)</f>
        <v>94.72999999999999</v>
      </c>
      <c r="AC7" s="13">
        <f t="shared" si="9"/>
        <v>95.998999999999995</v>
      </c>
      <c r="AD7" s="13">
        <f t="shared" si="9"/>
        <v>102.554</v>
      </c>
      <c r="AE7" s="13">
        <f t="shared" si="9"/>
        <v>103.23400000000001</v>
      </c>
      <c r="AF7" s="13">
        <f t="shared" si="9"/>
        <v>115.78700000000001</v>
      </c>
      <c r="AG7" s="13">
        <f t="shared" si="9"/>
        <v>116.161</v>
      </c>
      <c r="AH7" s="13">
        <f t="shared" si="9"/>
        <v>131.13399999999999</v>
      </c>
      <c r="AI7" s="13">
        <f t="shared" si="9"/>
        <v>131.624</v>
      </c>
      <c r="AJ7" s="14"/>
      <c r="AK7" s="13">
        <f>+SUM(AK8:AK9)</f>
        <v>444.20499999999998</v>
      </c>
      <c r="AL7" s="13">
        <f>+SUM(AL8:AL9)</f>
        <v>447.01799999999997</v>
      </c>
      <c r="AM7" s="14"/>
      <c r="AN7" s="13">
        <f t="shared" ref="AN7:AS7" si="10">+SUM(AN8:AN9)</f>
        <v>117.148</v>
      </c>
      <c r="AO7" s="13">
        <f t="shared" si="10"/>
        <v>117.75999999999999</v>
      </c>
      <c r="AP7" s="13">
        <f t="shared" si="10"/>
        <v>113.441</v>
      </c>
      <c r="AQ7" s="13">
        <f t="shared" si="10"/>
        <v>113.672</v>
      </c>
      <c r="AR7" s="13">
        <f t="shared" si="10"/>
        <v>115.651</v>
      </c>
      <c r="AS7" s="13">
        <f t="shared" si="10"/>
        <v>115.768</v>
      </c>
      <c r="AT7" s="13">
        <f t="shared" ref="AT7:AU7" si="11">+SUM(AT8:AT9)</f>
        <v>168.58799999999999</v>
      </c>
      <c r="AU7" s="13">
        <f t="shared" si="11"/>
        <v>168.697</v>
      </c>
      <c r="AV7" s="14"/>
      <c r="AW7" s="13">
        <f>+SUM(AW8:AW9)</f>
        <v>514.82799999999997</v>
      </c>
      <c r="AX7" s="13">
        <f>+SUM(AX8:AX9)</f>
        <v>515.89699999999993</v>
      </c>
      <c r="AY7" s="14"/>
      <c r="AZ7" s="13">
        <f t="shared" ref="AZ7:BA7" si="12">+SUM(AZ8:AZ9)</f>
        <v>140.983</v>
      </c>
      <c r="BA7" s="13">
        <f t="shared" si="12"/>
        <v>140.983</v>
      </c>
      <c r="BB7" s="13">
        <f t="shared" ref="BB7:BC7" si="13">+SUM(BB8:BB9)</f>
        <v>131.10400000000001</v>
      </c>
      <c r="BC7" s="13">
        <f t="shared" si="13"/>
        <v>131.10400000000001</v>
      </c>
      <c r="BD7" s="13">
        <f t="shared" ref="BD7:BE7" si="14">+SUM(BD8:BD9)</f>
        <v>148.66199999999998</v>
      </c>
      <c r="BE7" s="13">
        <f t="shared" si="14"/>
        <v>148.66199999999998</v>
      </c>
      <c r="BF7" s="14"/>
      <c r="BG7" s="13">
        <f>+SUM(BG8:BG9)</f>
        <v>420.74900000000002</v>
      </c>
      <c r="BH7" s="13">
        <f t="shared" ref="BH7" si="15">+SUM(BH8:BH9)</f>
        <v>420.74900000000002</v>
      </c>
      <c r="BI7" s="14"/>
      <c r="BJ7" s="325" t="s">
        <v>62</v>
      </c>
      <c r="BK7" s="14"/>
      <c r="BL7" s="14"/>
      <c r="BM7" s="14"/>
      <c r="BN7" s="14"/>
      <c r="BO7" s="14"/>
    </row>
    <row r="8" spans="1:67" ht="17.5" thickBot="1">
      <c r="A8" s="350"/>
      <c r="B8" s="26" t="s">
        <v>63</v>
      </c>
      <c r="C8" s="14"/>
      <c r="D8" s="171">
        <f>+'SaaS Revenue Reconciliation'!B6</f>
        <v>33.393000000000001</v>
      </c>
      <c r="E8" s="13">
        <f>+'SaaS Revenue Reconciliation'!B14</f>
        <v>36.274999999999999</v>
      </c>
      <c r="F8" s="13">
        <f>+'SaaS Revenue Reconciliation'!C6</f>
        <v>35.817999999999998</v>
      </c>
      <c r="G8" s="172">
        <f>+'SaaS Revenue Reconciliation'!C14</f>
        <v>38.524000000000001</v>
      </c>
      <c r="H8" s="13">
        <f>+'SaaS Revenue Reconciliation'!D6</f>
        <v>37.405999999999999</v>
      </c>
      <c r="I8" s="172">
        <f>+'SaaS Revenue Reconciliation'!D14</f>
        <v>39.302999999999997</v>
      </c>
      <c r="J8" s="13">
        <f>+'SaaS Revenue Reconciliation'!E6</f>
        <v>39.344999999999999</v>
      </c>
      <c r="K8" s="172">
        <f>+'SaaS Revenue Reconciliation'!E14</f>
        <v>40.847999999999999</v>
      </c>
      <c r="L8" s="21"/>
      <c r="M8" s="171">
        <f>+'SaaS Revenue Reconciliation'!G6</f>
        <v>145.96199999999999</v>
      </c>
      <c r="N8" s="172">
        <f>+'SaaS Revenue Reconciliation'!G14</f>
        <v>154.94999999999999</v>
      </c>
      <c r="O8" s="14"/>
      <c r="P8" s="13">
        <f>+'SaaS Revenue Reconciliation'!I6</f>
        <v>39.308999999999997</v>
      </c>
      <c r="Q8" s="13">
        <f>+'SaaS Revenue Reconciliation'!I14</f>
        <v>40.091000000000001</v>
      </c>
      <c r="R8" s="13">
        <f>+'SaaS Revenue Reconciliation'!J6</f>
        <v>42.94</v>
      </c>
      <c r="S8" s="13">
        <f>+'SaaS Revenue Reconciliation'!J14</f>
        <v>43.811999999999998</v>
      </c>
      <c r="T8" s="13">
        <f>+'SaaS Revenue Reconciliation'!K6</f>
        <v>48.39</v>
      </c>
      <c r="U8" s="13">
        <f>+'SaaS Revenue Reconciliation'!K14</f>
        <v>50.374000000000002</v>
      </c>
      <c r="V8" s="13">
        <f>+'SaaS Revenue Reconciliation'!L6</f>
        <v>52.396000000000001</v>
      </c>
      <c r="W8" s="13">
        <f>+'SaaS Revenue Reconciliation'!L14</f>
        <v>54.316000000000003</v>
      </c>
      <c r="X8" s="14"/>
      <c r="Y8" s="171">
        <f>+'SaaS Revenue Reconciliation'!N6</f>
        <v>183.03500000000003</v>
      </c>
      <c r="Z8" s="172">
        <f>+'SaaS Revenue Reconciliation'!N14</f>
        <v>188.59299999999999</v>
      </c>
      <c r="AA8" s="14"/>
      <c r="AB8" s="13">
        <f>+'SaaS Revenue Reconciliation'!P6</f>
        <v>49.284999999999997</v>
      </c>
      <c r="AC8" s="13">
        <f>+'SaaS Revenue Reconciliation'!P14</f>
        <v>50.554000000000002</v>
      </c>
      <c r="AD8" s="13">
        <f>+'SaaS Revenue Reconciliation'!Q6</f>
        <v>54.679000000000002</v>
      </c>
      <c r="AE8" s="13">
        <f>+'SaaS Revenue Reconciliation'!Q14</f>
        <v>55.359000000000002</v>
      </c>
      <c r="AF8" s="13">
        <f>+'SaaS Revenue Reconciliation'!R6</f>
        <v>57.040999999999997</v>
      </c>
      <c r="AG8" s="13">
        <f>+'SaaS Revenue Reconciliation'!R14</f>
        <v>57.414999999999999</v>
      </c>
      <c r="AH8" s="13">
        <f>+'SaaS Revenue Reconciliation'!S6</f>
        <v>61.555</v>
      </c>
      <c r="AI8" s="13">
        <f>+'SaaS Revenue Reconciliation'!S14</f>
        <v>62.045000000000002</v>
      </c>
      <c r="AJ8" s="14"/>
      <c r="AK8" s="13">
        <f>+'SaaS Revenue Reconciliation'!U6</f>
        <v>222.56</v>
      </c>
      <c r="AL8" s="13">
        <f>+'SaaS Revenue Reconciliation'!U14</f>
        <v>225.37299999999999</v>
      </c>
      <c r="AM8" s="14"/>
      <c r="AN8" s="13">
        <f>+'SaaS Revenue Reconciliation'!W6</f>
        <v>59.453000000000003</v>
      </c>
      <c r="AO8" s="13">
        <f>+'SaaS Revenue Reconciliation'!W14</f>
        <v>60.064999999999998</v>
      </c>
      <c r="AP8" s="13">
        <f>+'SaaS Revenue Reconciliation'!X6</f>
        <v>62.066000000000003</v>
      </c>
      <c r="AQ8" s="13">
        <f>+'SaaS Revenue Reconciliation'!X14</f>
        <v>62.296999999999997</v>
      </c>
      <c r="AR8" s="13">
        <f>+'SaaS Revenue Reconciliation'!Y6</f>
        <v>63.250999999999998</v>
      </c>
      <c r="AS8" s="13">
        <f>+'SaaS Revenue Reconciliation'!Y14</f>
        <v>63.368000000000002</v>
      </c>
      <c r="AT8" s="13">
        <f>+'SaaS Revenue Reconciliation'!Z6</f>
        <v>65.756</v>
      </c>
      <c r="AU8" s="13">
        <f>+'SaaS Revenue Reconciliation'!Z14</f>
        <v>65.864999999999995</v>
      </c>
      <c r="AV8" s="14"/>
      <c r="AW8" s="13">
        <f>+'SaaS Revenue Reconciliation'!AB6</f>
        <v>250.52600000000001</v>
      </c>
      <c r="AX8" s="13">
        <f>+'SaaS Revenue Reconciliation'!AB14</f>
        <v>251.59499999999997</v>
      </c>
      <c r="AY8" s="14"/>
      <c r="AZ8" s="13">
        <f>+'SaaS Revenue Reconciliation'!AD6</f>
        <v>65.694999999999993</v>
      </c>
      <c r="BA8" s="13">
        <f>+'SaaS Revenue Reconciliation'!AD14</f>
        <v>65.694999999999993</v>
      </c>
      <c r="BB8" s="13">
        <f>+'SaaS Revenue Reconciliation'!AE6</f>
        <v>71.593000000000004</v>
      </c>
      <c r="BC8" s="13">
        <f>+'SaaS Revenue Reconciliation'!AE14</f>
        <v>71.593000000000004</v>
      </c>
      <c r="BD8" s="13">
        <f>+'SaaS Revenue Reconciliation'!AF6</f>
        <v>75.22</v>
      </c>
      <c r="BE8" s="13">
        <f>+'SaaS Revenue Reconciliation'!AF14</f>
        <v>75.22</v>
      </c>
      <c r="BF8" s="14"/>
      <c r="BG8" s="13">
        <f>+'SaaS Revenue Reconciliation'!AH6</f>
        <v>212.50800000000001</v>
      </c>
      <c r="BH8" s="13">
        <f>+'SaaS Revenue Reconciliation'!AH14</f>
        <v>212.50800000000001</v>
      </c>
      <c r="BI8" s="14"/>
      <c r="BJ8" s="346"/>
      <c r="BK8" s="14"/>
      <c r="BL8" s="14"/>
      <c r="BM8" s="14"/>
      <c r="BN8" s="14"/>
      <c r="BO8" s="14"/>
    </row>
    <row r="9" spans="1:67" ht="17.5" thickBot="1">
      <c r="A9" s="350"/>
      <c r="B9" s="26" t="s">
        <v>64</v>
      </c>
      <c r="C9" s="14"/>
      <c r="D9" s="171">
        <f>+'SaaS Revenue Reconciliation'!B7</f>
        <v>7.4950000000000001</v>
      </c>
      <c r="E9" s="13">
        <f>+'SaaS Revenue Reconciliation'!B15</f>
        <v>7.5389999999999997</v>
      </c>
      <c r="F9" s="13">
        <f>+'SaaS Revenue Reconciliation'!C7</f>
        <v>12.411</v>
      </c>
      <c r="G9" s="172">
        <f>+'SaaS Revenue Reconciliation'!C15</f>
        <v>12.455</v>
      </c>
      <c r="H9" s="13">
        <f>+'SaaS Revenue Reconciliation'!D7</f>
        <v>21.577000000000002</v>
      </c>
      <c r="I9" s="172">
        <f>+'SaaS Revenue Reconciliation'!D15</f>
        <v>21.623999999999999</v>
      </c>
      <c r="J9" s="13">
        <f>+'SaaS Revenue Reconciliation'!E7</f>
        <v>30.507000000000001</v>
      </c>
      <c r="K9" s="172">
        <f>+'SaaS Revenue Reconciliation'!E15</f>
        <v>30.548999999999999</v>
      </c>
      <c r="L9" s="21"/>
      <c r="M9" s="171">
        <f>+'SaaS Revenue Reconciliation'!G7</f>
        <v>71.990000000000009</v>
      </c>
      <c r="N9" s="172">
        <f>+'SaaS Revenue Reconciliation'!G15</f>
        <v>72.167000000000002</v>
      </c>
      <c r="O9" s="14"/>
      <c r="P9" s="13">
        <f>+'SaaS Revenue Reconciliation'!I7</f>
        <v>24.283000000000001</v>
      </c>
      <c r="Q9" s="13">
        <f>+'SaaS Revenue Reconciliation'!I15</f>
        <v>24.344999999999999</v>
      </c>
      <c r="R9" s="13">
        <f>+'SaaS Revenue Reconciliation'!J7</f>
        <v>33.444000000000003</v>
      </c>
      <c r="S9" s="13">
        <f>+'SaaS Revenue Reconciliation'!J15</f>
        <v>33.444000000000003</v>
      </c>
      <c r="T9" s="13">
        <f>+'SaaS Revenue Reconciliation'!K7</f>
        <v>33.713000000000001</v>
      </c>
      <c r="U9" s="13">
        <f>+'SaaS Revenue Reconciliation'!K15</f>
        <v>33.713999999999999</v>
      </c>
      <c r="V9" s="13">
        <f>+'SaaS Revenue Reconciliation'!L7</f>
        <v>48.289000000000001</v>
      </c>
      <c r="W9" s="13">
        <f>+'SaaS Revenue Reconciliation'!L15</f>
        <v>48.289000000000001</v>
      </c>
      <c r="X9" s="14"/>
      <c r="Y9" s="171">
        <f>+'SaaS Revenue Reconciliation'!N7</f>
        <v>139.72899999999998</v>
      </c>
      <c r="Z9" s="172">
        <f>+'SaaS Revenue Reconciliation'!N15</f>
        <v>139.792</v>
      </c>
      <c r="AA9" s="14"/>
      <c r="AB9" s="13">
        <f>+'SaaS Revenue Reconciliation'!P7</f>
        <v>45.445</v>
      </c>
      <c r="AC9" s="13">
        <f>+'SaaS Revenue Reconciliation'!P15</f>
        <v>45.445</v>
      </c>
      <c r="AD9" s="13">
        <f>+'SaaS Revenue Reconciliation'!Q7</f>
        <v>47.875</v>
      </c>
      <c r="AE9" s="13">
        <f>+'SaaS Revenue Reconciliation'!Q15</f>
        <v>47.875</v>
      </c>
      <c r="AF9" s="13">
        <f>+'SaaS Revenue Reconciliation'!R7</f>
        <v>58.746000000000002</v>
      </c>
      <c r="AG9" s="13">
        <f>+'SaaS Revenue Reconciliation'!R15</f>
        <v>58.746000000000002</v>
      </c>
      <c r="AH9" s="13">
        <f>+'SaaS Revenue Reconciliation'!S7</f>
        <v>69.578999999999994</v>
      </c>
      <c r="AI9" s="13">
        <f>+'SaaS Revenue Reconciliation'!S15</f>
        <v>69.578999999999994</v>
      </c>
      <c r="AJ9" s="14"/>
      <c r="AK9" s="13">
        <f>+'SaaS Revenue Reconciliation'!U7</f>
        <v>221.64499999999998</v>
      </c>
      <c r="AL9" s="13">
        <f>+'SaaS Revenue Reconciliation'!U15</f>
        <v>221.64499999999998</v>
      </c>
      <c r="AM9" s="14"/>
      <c r="AN9" s="13">
        <f>+'SaaS Revenue Reconciliation'!W7</f>
        <v>57.695</v>
      </c>
      <c r="AO9" s="13">
        <f>+'SaaS Revenue Reconciliation'!W15</f>
        <v>57.695</v>
      </c>
      <c r="AP9" s="13">
        <f>+'SaaS Revenue Reconciliation'!X7</f>
        <v>51.375</v>
      </c>
      <c r="AQ9" s="13">
        <f>+'SaaS Revenue Reconciliation'!X15</f>
        <v>51.375</v>
      </c>
      <c r="AR9" s="13">
        <f>+'SaaS Revenue Reconciliation'!Y7</f>
        <v>52.4</v>
      </c>
      <c r="AS9" s="13">
        <f>+'SaaS Revenue Reconciliation'!Y15</f>
        <v>52.4</v>
      </c>
      <c r="AT9" s="13">
        <f>+'SaaS Revenue Reconciliation'!Z7</f>
        <v>102.83199999999999</v>
      </c>
      <c r="AU9" s="13">
        <f>+'SaaS Revenue Reconciliation'!Z15</f>
        <v>102.83199999999999</v>
      </c>
      <c r="AV9" s="14"/>
      <c r="AW9" s="13">
        <f>+'SaaS Revenue Reconciliation'!AB7</f>
        <v>264.30200000000002</v>
      </c>
      <c r="AX9" s="13">
        <f>+'SaaS Revenue Reconciliation'!AB15</f>
        <v>264.30200000000002</v>
      </c>
      <c r="AY9" s="14"/>
      <c r="AZ9" s="13">
        <f>+'SaaS Revenue Reconciliation'!AD7</f>
        <v>75.287999999999997</v>
      </c>
      <c r="BA9" s="13">
        <f>+'SaaS Revenue Reconciliation'!AD15</f>
        <v>75.287999999999997</v>
      </c>
      <c r="BB9" s="13">
        <f>+'SaaS Revenue Reconciliation'!AE7</f>
        <v>59.511000000000003</v>
      </c>
      <c r="BC9" s="13">
        <f>+'SaaS Revenue Reconciliation'!AE15</f>
        <v>59.511000000000003</v>
      </c>
      <c r="BD9" s="13">
        <f>+'SaaS Revenue Reconciliation'!AF7</f>
        <v>73.441999999999993</v>
      </c>
      <c r="BE9" s="13">
        <f>+'SaaS Revenue Reconciliation'!AF15</f>
        <v>73.441999999999993</v>
      </c>
      <c r="BF9" s="14"/>
      <c r="BG9" s="13">
        <f>+'SaaS Revenue Reconciliation'!AH7</f>
        <v>208.24099999999999</v>
      </c>
      <c r="BH9" s="13">
        <f>+'SaaS Revenue Reconciliation'!AH15</f>
        <v>208.24099999999999</v>
      </c>
      <c r="BI9" s="14"/>
      <c r="BJ9" s="345"/>
      <c r="BK9" s="14"/>
      <c r="BL9" s="14"/>
      <c r="BM9" s="14"/>
      <c r="BN9" s="14"/>
      <c r="BO9" s="14"/>
    </row>
    <row r="10" spans="1:67" ht="17.5" thickBot="1">
      <c r="A10" s="350"/>
      <c r="B10" s="243" t="s">
        <v>65</v>
      </c>
      <c r="C10" s="14"/>
      <c r="D10" s="171">
        <f>+'Revenue Metrics Reconciliation'!C9</f>
        <v>74.05</v>
      </c>
      <c r="E10" s="13">
        <f>+'Revenue Metrics Reconciliation'!C27</f>
        <v>74.105000000000004</v>
      </c>
      <c r="F10" s="13">
        <f>+'Revenue Metrics Reconciliation'!D9</f>
        <v>76.709999999999994</v>
      </c>
      <c r="G10" s="172">
        <f>+'Revenue Metrics Reconciliation'!D27</f>
        <v>76.757999999999996</v>
      </c>
      <c r="H10" s="13">
        <f>+'Revenue Metrics Reconciliation'!E9</f>
        <v>76.366</v>
      </c>
      <c r="I10" s="172">
        <f>+'Revenue Metrics Reconciliation'!E27</f>
        <v>76.426000000000002</v>
      </c>
      <c r="J10" s="13">
        <f>+'Revenue Metrics Reconciliation'!F9</f>
        <v>71.087000000000003</v>
      </c>
      <c r="K10" s="172">
        <f>+'Revenue Metrics Reconciliation'!F27</f>
        <v>71.096999999999994</v>
      </c>
      <c r="L10" s="21"/>
      <c r="M10" s="171">
        <f>+'Revenue Metrics Reconciliation'!H9</f>
        <v>298.21299999999997</v>
      </c>
      <c r="N10" s="172">
        <f>+'Revenue Metrics Reconciliation'!H27</f>
        <v>298.38599999999997</v>
      </c>
      <c r="O10" s="14"/>
      <c r="P10" s="13">
        <f>+'Revenue Metrics Reconciliation'!J9</f>
        <v>64.403000000000006</v>
      </c>
      <c r="Q10" s="13">
        <f>+'Revenue Metrics Reconciliation'!J27</f>
        <v>64.411000000000001</v>
      </c>
      <c r="R10" s="13">
        <f>+'Revenue Metrics Reconciliation'!K9</f>
        <v>62.921999999999997</v>
      </c>
      <c r="S10" s="13">
        <f>+'Revenue Metrics Reconciliation'!K27</f>
        <v>62.930999999999997</v>
      </c>
      <c r="T10" s="13">
        <f>+'Revenue Metrics Reconciliation'!L9</f>
        <v>60.35</v>
      </c>
      <c r="U10" s="13">
        <f>+'Revenue Metrics Reconciliation'!L27</f>
        <v>60.360999999999997</v>
      </c>
      <c r="V10" s="13">
        <f>+'Revenue Metrics Reconciliation'!M9</f>
        <v>57.042000000000002</v>
      </c>
      <c r="W10" s="13">
        <f>+'Revenue Metrics Reconciliation'!M27</f>
        <v>57.052</v>
      </c>
      <c r="X10" s="14"/>
      <c r="Y10" s="171">
        <f>+'Revenue Metrics Reconciliation'!O9</f>
        <v>244.71700000000001</v>
      </c>
      <c r="Z10" s="172">
        <f>+'Revenue Metrics Reconciliation'!O27</f>
        <v>244.755</v>
      </c>
      <c r="AA10" s="14"/>
      <c r="AB10" s="13">
        <f>+'Revenue Metrics Reconciliation'!Q9</f>
        <v>48.723999999999997</v>
      </c>
      <c r="AC10" s="13">
        <f>+'Revenue Metrics Reconciliation'!Q27</f>
        <v>48.738</v>
      </c>
      <c r="AD10" s="13">
        <f>+'Revenue Metrics Reconciliation'!R9</f>
        <v>48.107999999999997</v>
      </c>
      <c r="AE10" s="13">
        <f>+'Revenue Metrics Reconciliation'!R27</f>
        <v>48.107999999999997</v>
      </c>
      <c r="AF10" s="13">
        <f>+'Revenue Metrics Reconciliation'!S9</f>
        <v>42.999000000000002</v>
      </c>
      <c r="AG10" s="13">
        <f>+'Revenue Metrics Reconciliation'!S27</f>
        <v>42.999000000000002</v>
      </c>
      <c r="AH10" s="13">
        <f>+'Revenue Metrics Reconciliation'!T9</f>
        <v>40.113</v>
      </c>
      <c r="AI10" s="13">
        <f>+'Revenue Metrics Reconciliation'!T27</f>
        <v>40.113</v>
      </c>
      <c r="AJ10" s="14"/>
      <c r="AK10" s="13">
        <f>+'Revenue Metrics Reconciliation'!V9</f>
        <v>179.94399999999999</v>
      </c>
      <c r="AL10" s="13">
        <f>+'Revenue Metrics Reconciliation'!V27</f>
        <v>179.958</v>
      </c>
      <c r="AM10" s="14"/>
      <c r="AN10" s="13">
        <f>+'Revenue Metrics Reconciliation'!X9</f>
        <v>36.426000000000002</v>
      </c>
      <c r="AO10" s="13">
        <f>+'Revenue Metrics Reconciliation'!X27</f>
        <v>36.426000000000002</v>
      </c>
      <c r="AP10" s="13">
        <f>+'Revenue Metrics Reconciliation'!Y9</f>
        <v>35.393000000000001</v>
      </c>
      <c r="AQ10" s="13">
        <f>+'Revenue Metrics Reconciliation'!Y27</f>
        <v>35.393000000000001</v>
      </c>
      <c r="AR10" s="13">
        <f>+'Revenue Metrics Reconciliation'!Z9</f>
        <v>33.624000000000002</v>
      </c>
      <c r="AS10" s="13">
        <f>+'Revenue Metrics Reconciliation'!Z27</f>
        <v>33.624000000000002</v>
      </c>
      <c r="AT10" s="13">
        <f>+'Revenue Metrics Reconciliation'!AA9</f>
        <v>31.259</v>
      </c>
      <c r="AU10" s="13">
        <f>+'Revenue Metrics Reconciliation'!AA27</f>
        <v>31.259</v>
      </c>
      <c r="AV10" s="14"/>
      <c r="AW10" s="13">
        <f>+'Revenue Metrics Reconciliation'!AC9</f>
        <v>136.702</v>
      </c>
      <c r="AX10" s="13">
        <f>+'Revenue Metrics Reconciliation'!AC27</f>
        <v>136.702</v>
      </c>
      <c r="AY10" s="14"/>
      <c r="AZ10" s="13">
        <v>27.376999999999999</v>
      </c>
      <c r="BA10" s="13">
        <v>27.376999999999999</v>
      </c>
      <c r="BB10" s="13">
        <v>26.556000000000001</v>
      </c>
      <c r="BC10" s="281">
        <v>26.556000000000001</v>
      </c>
      <c r="BD10" s="13">
        <v>25.457000000000001</v>
      </c>
      <c r="BE10" s="281">
        <v>25.457000000000001</v>
      </c>
      <c r="BF10" s="14"/>
      <c r="BG10" s="13">
        <f>AZ10+BB10+BD10</f>
        <v>79.39</v>
      </c>
      <c r="BH10" s="13">
        <f>BA10+BC10+BE10</f>
        <v>79.39</v>
      </c>
      <c r="BI10" s="14"/>
      <c r="BJ10" s="325" t="s">
        <v>34</v>
      </c>
      <c r="BK10" s="14"/>
      <c r="BL10" s="14"/>
      <c r="BM10" s="14"/>
      <c r="BN10" s="14"/>
      <c r="BO10" s="14"/>
    </row>
    <row r="11" spans="1:67" ht="17.5" thickBot="1">
      <c r="A11" s="350"/>
      <c r="B11" s="243" t="s">
        <v>66</v>
      </c>
      <c r="C11" s="14"/>
      <c r="D11" s="171">
        <f>'Revenue Metrics Reconciliation'!C8</f>
        <v>14.132</v>
      </c>
      <c r="E11" s="13">
        <f>'Revenue Metrics Reconciliation'!C26</f>
        <v>14.413</v>
      </c>
      <c r="F11" s="171">
        <f>'Revenue Metrics Reconciliation'!D8</f>
        <v>14.327999999999999</v>
      </c>
      <c r="G11" s="13">
        <f>'Revenue Metrics Reconciliation'!D26</f>
        <v>14.596</v>
      </c>
      <c r="H11" s="171">
        <f>'Revenue Metrics Reconciliation'!E8</f>
        <v>14.884</v>
      </c>
      <c r="I11" s="13">
        <f>'Revenue Metrics Reconciliation'!E26</f>
        <v>15.106999999999999</v>
      </c>
      <c r="J11" s="171">
        <f>'Revenue Metrics Reconciliation'!F8</f>
        <v>16.114999999999998</v>
      </c>
      <c r="K11" s="13">
        <f>'Revenue Metrics Reconciliation'!F26</f>
        <v>16.341000000000001</v>
      </c>
      <c r="L11" s="21"/>
      <c r="M11" s="171">
        <f>'Revenue Metrics Reconciliation'!H8</f>
        <v>59.459000000000003</v>
      </c>
      <c r="N11" s="13">
        <f>'Revenue Metrics Reconciliation'!H26</f>
        <v>60.457000000000001</v>
      </c>
      <c r="O11" s="14"/>
      <c r="P11" s="171">
        <f>'Revenue Metrics Reconciliation'!J8</f>
        <v>16.457999999999998</v>
      </c>
      <c r="Q11" s="13">
        <f>'Revenue Metrics Reconciliation'!J26</f>
        <v>16.645</v>
      </c>
      <c r="R11" s="171">
        <f>'Revenue Metrics Reconciliation'!K8</f>
        <v>16.872</v>
      </c>
      <c r="S11" s="13">
        <f>'Revenue Metrics Reconciliation'!K26</f>
        <v>17.004000000000001</v>
      </c>
      <c r="T11" s="171">
        <f>'Revenue Metrics Reconciliation'!L8</f>
        <v>16.358000000000001</v>
      </c>
      <c r="U11" s="13">
        <f>'Revenue Metrics Reconciliation'!L26</f>
        <v>16.47</v>
      </c>
      <c r="V11" s="171">
        <f>'Revenue Metrics Reconciliation'!M8</f>
        <v>15.96</v>
      </c>
      <c r="W11" s="13">
        <f>'Revenue Metrics Reconciliation'!M26</f>
        <v>16.041</v>
      </c>
      <c r="X11" s="14"/>
      <c r="Y11" s="171">
        <f>'Revenue Metrics Reconciliation'!O8</f>
        <v>65.647999999999996</v>
      </c>
      <c r="Z11" s="13">
        <f>'Revenue Metrics Reconciliation'!O26</f>
        <v>66.16</v>
      </c>
      <c r="AA11" s="14"/>
      <c r="AB11" s="171">
        <f>'Revenue Metrics Reconciliation'!Q8</f>
        <v>15.913</v>
      </c>
      <c r="AC11" s="13">
        <f>'Revenue Metrics Reconciliation'!Q26</f>
        <v>15.973000000000001</v>
      </c>
      <c r="AD11" s="171">
        <f>'Revenue Metrics Reconciliation'!R8</f>
        <v>15.778</v>
      </c>
      <c r="AE11" s="13">
        <f>'Revenue Metrics Reconciliation'!R26</f>
        <v>15.83</v>
      </c>
      <c r="AF11" s="171">
        <f>'Revenue Metrics Reconciliation'!S8</f>
        <v>15.436</v>
      </c>
      <c r="AG11" s="13">
        <f>'Revenue Metrics Reconciliation'!S26</f>
        <v>15.484999999999999</v>
      </c>
      <c r="AH11" s="171">
        <f>'Revenue Metrics Reconciliation'!T8</f>
        <v>14.260999999999999</v>
      </c>
      <c r="AI11" s="13">
        <f>'Revenue Metrics Reconciliation'!T26</f>
        <v>14.275</v>
      </c>
      <c r="AJ11" s="14"/>
      <c r="AK11" s="171">
        <f>'Revenue Metrics Reconciliation'!V8</f>
        <v>61.388000000000005</v>
      </c>
      <c r="AL11" s="13">
        <f>'Revenue Metrics Reconciliation'!V26</f>
        <v>61.562999999999995</v>
      </c>
      <c r="AM11" s="14"/>
      <c r="AN11" s="171">
        <f>'Revenue Metrics Reconciliation'!X8</f>
        <v>12.865</v>
      </c>
      <c r="AO11" s="13">
        <f>'Revenue Metrics Reconciliation'!X26</f>
        <v>12.88</v>
      </c>
      <c r="AP11" s="171">
        <f>'Revenue Metrics Reconciliation'!Y8</f>
        <v>12.164999999999999</v>
      </c>
      <c r="AQ11" s="13">
        <f>'Revenue Metrics Reconciliation'!Y26</f>
        <v>12.176</v>
      </c>
      <c r="AR11" s="171">
        <f>'Revenue Metrics Reconciliation'!Z8</f>
        <v>11.842000000000001</v>
      </c>
      <c r="AS11" s="13">
        <f>'Revenue Metrics Reconciliation'!Z26</f>
        <v>11.845000000000001</v>
      </c>
      <c r="AT11" s="171">
        <f>'Revenue Metrics Reconciliation'!AA8</f>
        <v>10.846</v>
      </c>
      <c r="AU11" s="13">
        <f>'Revenue Metrics Reconciliation'!AA26</f>
        <v>10.848000000000001</v>
      </c>
      <c r="AV11" s="14"/>
      <c r="AW11" s="13">
        <f>'Revenue Metrics Reconciliation'!AC8</f>
        <v>47.718000000000004</v>
      </c>
      <c r="AX11" s="13">
        <f>'Revenue Metrics Reconciliation'!AC26</f>
        <v>47.749000000000002</v>
      </c>
      <c r="AY11" s="14"/>
      <c r="AZ11" s="13">
        <v>5.1680000000000001</v>
      </c>
      <c r="BA11" s="13">
        <v>5.1680000000000001</v>
      </c>
      <c r="BB11" s="13">
        <v>5.569</v>
      </c>
      <c r="BC11" s="281">
        <v>5.569</v>
      </c>
      <c r="BD11" s="13">
        <v>5.7389999999999999</v>
      </c>
      <c r="BE11" s="281">
        <v>5.7389999999999999</v>
      </c>
      <c r="BF11" s="14"/>
      <c r="BG11" s="13">
        <f>AZ11+BB11+BD11</f>
        <v>16.475999999999999</v>
      </c>
      <c r="BH11" s="13">
        <f>BA11+BC11+BE11</f>
        <v>16.475999999999999</v>
      </c>
      <c r="BI11" s="14"/>
      <c r="BJ11" s="345"/>
      <c r="BK11" s="14"/>
      <c r="BL11" s="14"/>
      <c r="BM11" s="14"/>
      <c r="BN11" s="14"/>
      <c r="BO11" s="14"/>
    </row>
    <row r="12" spans="1:67" s="27" customFormat="1" ht="18" customHeight="1" thickBot="1">
      <c r="A12" s="350"/>
      <c r="B12" s="223"/>
      <c r="C12" s="17"/>
      <c r="D12" s="183"/>
      <c r="E12" s="25"/>
      <c r="F12" s="25"/>
      <c r="G12" s="221"/>
      <c r="H12" s="25"/>
      <c r="I12" s="221"/>
      <c r="J12" s="25"/>
      <c r="K12" s="221"/>
      <c r="L12" s="222"/>
      <c r="M12" s="183"/>
      <c r="N12" s="221"/>
      <c r="O12" s="17"/>
      <c r="P12" s="25"/>
      <c r="Q12" s="25"/>
      <c r="R12" s="25"/>
      <c r="S12" s="25"/>
      <c r="T12" s="25"/>
      <c r="U12" s="25"/>
      <c r="V12" s="25"/>
      <c r="W12" s="25"/>
      <c r="X12" s="17"/>
      <c r="Y12" s="183"/>
      <c r="Z12" s="221"/>
      <c r="AA12" s="17"/>
      <c r="AB12" s="25"/>
      <c r="AC12" s="25"/>
      <c r="AD12" s="25"/>
      <c r="AE12" s="25"/>
      <c r="AF12" s="25"/>
      <c r="AG12" s="25"/>
      <c r="AH12" s="25"/>
      <c r="AI12" s="25"/>
      <c r="AJ12" s="17"/>
      <c r="AK12" s="25"/>
      <c r="AL12" s="25"/>
      <c r="AM12" s="17"/>
      <c r="AN12" s="25"/>
      <c r="AO12" s="25"/>
      <c r="AP12" s="25"/>
      <c r="AQ12" s="25"/>
      <c r="AR12" s="25"/>
      <c r="AS12" s="25"/>
      <c r="AT12" s="25"/>
      <c r="AU12" s="25"/>
      <c r="AV12" s="17"/>
      <c r="AW12" s="25"/>
      <c r="AX12" s="25"/>
      <c r="AY12" s="17"/>
      <c r="AZ12" s="25"/>
      <c r="BA12" s="25"/>
      <c r="BB12" s="25"/>
      <c r="BC12" s="25"/>
      <c r="BD12" s="25"/>
      <c r="BE12" s="25"/>
      <c r="BF12" s="17"/>
      <c r="BG12" s="25"/>
      <c r="BH12" s="25"/>
      <c r="BI12" s="17"/>
      <c r="BJ12" s="229"/>
      <c r="BK12" s="17"/>
      <c r="BL12" s="17"/>
      <c r="BM12" s="17"/>
      <c r="BN12" s="17"/>
      <c r="BO12" s="17"/>
    </row>
    <row r="13" spans="1:67" s="27" customFormat="1" ht="18" customHeight="1" thickBot="1">
      <c r="A13" s="350"/>
      <c r="B13" s="223" t="s">
        <v>67</v>
      </c>
      <c r="C13" s="17"/>
      <c r="D13" s="232">
        <v>4.6304252662980661E-2</v>
      </c>
      <c r="E13" s="232">
        <v>2.2797676303294434E-3</v>
      </c>
      <c r="F13" s="232">
        <v>7.6817802245384037E-2</v>
      </c>
      <c r="G13" s="232">
        <v>4.4109448356807635E-2</v>
      </c>
      <c r="H13" s="232">
        <v>6.2633507334946215E-2</v>
      </c>
      <c r="I13" s="232">
        <v>3.2297379646557101E-2</v>
      </c>
      <c r="J13" s="232">
        <v>0.11933575653909223</v>
      </c>
      <c r="K13" s="232">
        <v>9.532314567070288E-2</v>
      </c>
      <c r="L13" s="222"/>
      <c r="M13" s="232">
        <v>7.7185063756367134E-2</v>
      </c>
      <c r="N13" s="232">
        <v>4.4393310435912436E-2</v>
      </c>
      <c r="O13" s="17"/>
      <c r="P13" s="228">
        <f>+P6/D6-1</f>
        <v>0.11918338885875879</v>
      </c>
      <c r="Q13" s="228">
        <f t="shared" ref="Q13:W13" si="16">+Q6/E6-1</f>
        <v>9.9446845812048545E-2</v>
      </c>
      <c r="R13" s="228">
        <f t="shared" si="16"/>
        <v>0.12142862271751387</v>
      </c>
      <c r="S13" s="228">
        <f t="shared" si="16"/>
        <v>0.1043890032529351</v>
      </c>
      <c r="T13" s="228">
        <f t="shared" si="16"/>
        <v>5.70979744796416E-2</v>
      </c>
      <c r="U13" s="228">
        <f t="shared" si="16"/>
        <v>5.5483405483405246E-2</v>
      </c>
      <c r="V13" s="228">
        <f t="shared" si="16"/>
        <v>0.10590624880614308</v>
      </c>
      <c r="W13" s="228">
        <f t="shared" si="16"/>
        <v>0.10616677684389475</v>
      </c>
      <c r="X13" s="17"/>
      <c r="Y13" s="228">
        <f>+Y6/M6-1</f>
        <v>9.9900282128611684E-2</v>
      </c>
      <c r="Z13" s="228">
        <f>+Z6/N6-1</f>
        <v>9.1030104443989401E-2</v>
      </c>
      <c r="AA13" s="17"/>
      <c r="AB13" s="228">
        <f t="shared" ref="AB13:AI13" si="17">+AB6/P6-1</f>
        <v>0.10324465397049543</v>
      </c>
      <c r="AC13" s="228">
        <f t="shared" si="17"/>
        <v>0.10459681631979767</v>
      </c>
      <c r="AD13" s="228">
        <f t="shared" si="17"/>
        <v>6.5707077821460125E-2</v>
      </c>
      <c r="AE13" s="228">
        <f>+AE6/S6-1</f>
        <v>6.3496001679485659E-2</v>
      </c>
      <c r="AF13" s="228">
        <f t="shared" si="17"/>
        <v>9.703987759034316E-2</v>
      </c>
      <c r="AG13" s="228">
        <f t="shared" si="17"/>
        <v>8.5297572070420546E-2</v>
      </c>
      <c r="AH13" s="228">
        <f t="shared" si="17"/>
        <v>6.8059209958142963E-2</v>
      </c>
      <c r="AI13" s="228">
        <f t="shared" si="17"/>
        <v>5.8703001741624794E-2</v>
      </c>
      <c r="AJ13" s="17"/>
      <c r="AK13" s="228">
        <f>+AK6/Y6-1</f>
        <v>8.2776179893828905E-2</v>
      </c>
      <c r="AL13" s="228">
        <f>+AL6/Z6-1</f>
        <v>7.7020178320037491E-2</v>
      </c>
      <c r="AM13" s="17"/>
      <c r="AN13" s="228">
        <f t="shared" ref="AN13:AS13" si="18">+AN6/AB6-1</f>
        <v>4.4375560812464521E-2</v>
      </c>
      <c r="AO13" s="228">
        <f t="shared" si="18"/>
        <v>3.9549499097753404E-2</v>
      </c>
      <c r="AP13" s="228">
        <f t="shared" si="18"/>
        <v>-3.2690459024273033E-2</v>
      </c>
      <c r="AQ13" s="228">
        <f t="shared" si="18"/>
        <v>-3.5478429402053258E-2</v>
      </c>
      <c r="AR13" s="228">
        <f t="shared" si="18"/>
        <v>-7.522012145423651E-2</v>
      </c>
      <c r="AS13" s="228">
        <f t="shared" si="18"/>
        <v>-7.6772882132325471E-2</v>
      </c>
      <c r="AT13" s="228">
        <f t="shared" ref="AT13" si="19">+AT6/AH6-1</f>
        <v>0.1357623390904974</v>
      </c>
      <c r="AU13" s="228">
        <f t="shared" ref="AU13" si="20">+AU6/AI6-1</f>
        <v>0.13328172375975766</v>
      </c>
      <c r="AV13" s="17"/>
      <c r="AW13" s="228">
        <f>+AW6/(AB6+AD6+AF6+AH6)-1</f>
        <v>2.0000379264722312E-2</v>
      </c>
      <c r="AX13" s="228">
        <f>+AX6/(AC6+AE6+AG6+AI6)-1</f>
        <v>1.7150807724762185E-2</v>
      </c>
      <c r="AY13" s="17"/>
      <c r="AZ13" s="228">
        <f>+AZ6/AN6-1</f>
        <v>4.2592180919135636E-2</v>
      </c>
      <c r="BA13" s="228">
        <f t="shared" ref="BA13" si="21">+BA6/AO6-1</f>
        <v>3.8679324338884324E-2</v>
      </c>
      <c r="BB13" s="228">
        <f>+BB6/AP6-1</f>
        <v>1.3851017708184532E-2</v>
      </c>
      <c r="BC13" s="228">
        <f t="shared" ref="BC13" si="22">+BC6/AQ6-1</f>
        <v>1.2329370321444433E-2</v>
      </c>
      <c r="BD13" s="228">
        <f>+BD6/AR6-1</f>
        <v>0.1163191966086754</v>
      </c>
      <c r="BE13" s="228">
        <f>+BE6/AS6-1</f>
        <v>0.11548838045857956</v>
      </c>
      <c r="BF13" s="17"/>
      <c r="BG13" s="228">
        <f>+BG6/(AN6+AP6+AR6)-1</f>
        <v>5.7434679821105172E-2</v>
      </c>
      <c r="BH13" s="228">
        <f>+BH6/(AO6+AQ6+AS6)-1</f>
        <v>5.5298400143807269E-2</v>
      </c>
      <c r="BI13" s="17"/>
      <c r="BJ13" s="325" t="s">
        <v>62</v>
      </c>
      <c r="BK13" s="17"/>
      <c r="BL13" s="17"/>
      <c r="BM13" s="17"/>
      <c r="BN13" s="17"/>
      <c r="BO13" s="17"/>
    </row>
    <row r="14" spans="1:67" s="27" customFormat="1" ht="18" customHeight="1" thickBot="1">
      <c r="A14" s="350"/>
      <c r="B14" s="223" t="s">
        <v>68</v>
      </c>
      <c r="C14" s="17"/>
      <c r="D14" s="224"/>
      <c r="E14" s="225"/>
      <c r="F14" s="225"/>
      <c r="G14" s="226"/>
      <c r="H14" s="25"/>
      <c r="I14" s="227"/>
      <c r="J14" s="25"/>
      <c r="K14" s="221"/>
      <c r="L14" s="222"/>
      <c r="M14" s="228"/>
      <c r="N14" s="228"/>
      <c r="O14" s="17"/>
      <c r="P14" s="228">
        <v>9.4E-2</v>
      </c>
      <c r="Q14" s="228">
        <v>7.4999999999999997E-2</v>
      </c>
      <c r="R14" s="228">
        <v>9.7000000000000003E-2</v>
      </c>
      <c r="S14" s="228">
        <v>0.08</v>
      </c>
      <c r="T14" s="228">
        <v>4.9000000000000002E-2</v>
      </c>
      <c r="U14" s="228">
        <v>4.8000000000000001E-2</v>
      </c>
      <c r="V14" s="228">
        <v>0.111</v>
      </c>
      <c r="W14" s="228">
        <v>0.111</v>
      </c>
      <c r="X14" s="17"/>
      <c r="Y14" s="228">
        <v>8.7999999999999995E-2</v>
      </c>
      <c r="Z14" s="228">
        <v>7.9000000000000001E-2</v>
      </c>
      <c r="AA14" s="17"/>
      <c r="AB14" s="228">
        <v>0.11600000000000001</v>
      </c>
      <c r="AC14" s="228">
        <v>0.11700000000000001</v>
      </c>
      <c r="AD14" s="228">
        <v>9.2999999999999999E-2</v>
      </c>
      <c r="AE14" s="228">
        <v>9.0999999999999998E-2</v>
      </c>
      <c r="AF14" s="228">
        <v>0.13100000000000001</v>
      </c>
      <c r="AG14" s="228">
        <v>0.11899999999999999</v>
      </c>
      <c r="AH14" s="228">
        <v>8.7999999999999995E-2</v>
      </c>
      <c r="AI14" s="228">
        <v>7.8E-2</v>
      </c>
      <c r="AJ14" s="17"/>
      <c r="AK14" s="228">
        <v>0.106</v>
      </c>
      <c r="AL14" s="228">
        <v>0.10100000000000001</v>
      </c>
      <c r="AM14" s="17"/>
      <c r="AN14" s="228">
        <v>5.8999999999999997E-2</v>
      </c>
      <c r="AO14" s="228">
        <v>5.3999999999999999E-2</v>
      </c>
      <c r="AP14" s="228">
        <v>-3.5834975938836888E-2</v>
      </c>
      <c r="AQ14" s="228">
        <v>-3.8635060074441438E-2</v>
      </c>
      <c r="AR14" s="228">
        <v>-8.4000000000000005E-2</v>
      </c>
      <c r="AS14" s="228">
        <v>-8.5000000000000006E-2</v>
      </c>
      <c r="AT14" s="228">
        <v>0.13123416765842766</v>
      </c>
      <c r="AU14" s="228">
        <v>0.12873231698043175</v>
      </c>
      <c r="AV14" s="17"/>
      <c r="AW14" s="228">
        <v>1.9179726912632589E-2</v>
      </c>
      <c r="AX14" s="228">
        <v>1.6351532854170125E-2</v>
      </c>
      <c r="AY14" s="17"/>
      <c r="AZ14" s="228">
        <v>4.1760835789206682E-2</v>
      </c>
      <c r="BA14" s="228">
        <v>3.7854451662354356E-2</v>
      </c>
      <c r="BB14" s="285">
        <v>1.4807676524945915E-2</v>
      </c>
      <c r="BC14" s="285">
        <v>1.3275456888281148E-2</v>
      </c>
      <c r="BD14" s="285">
        <v>0.10756139914661737</v>
      </c>
      <c r="BE14" s="285">
        <v>0.10674096523821665</v>
      </c>
      <c r="BF14" s="17"/>
      <c r="BG14" s="228">
        <v>5.4578556858180541E-2</v>
      </c>
      <c r="BH14" s="228">
        <v>5.244728916963947E-2</v>
      </c>
      <c r="BI14" s="17"/>
      <c r="BJ14" s="346"/>
      <c r="BK14" s="17"/>
      <c r="BL14" s="17"/>
      <c r="BM14" s="17"/>
      <c r="BN14" s="17"/>
      <c r="BO14" s="17"/>
    </row>
    <row r="15" spans="1:67" s="27" customFormat="1" ht="17.75" thickBot="1">
      <c r="A15" s="350"/>
      <c r="B15" s="16" t="s">
        <v>69</v>
      </c>
      <c r="C15" s="17"/>
      <c r="D15" s="175">
        <v>0.19653517499707387</v>
      </c>
      <c r="E15" s="176">
        <v>3.760716146450057E-2</v>
      </c>
      <c r="F15" s="199">
        <v>0.3880846164915816</v>
      </c>
      <c r="G15" s="200">
        <v>0.23774491951343876</v>
      </c>
      <c r="H15" s="198">
        <v>0.2209227712115252</v>
      </c>
      <c r="I15" s="198">
        <v>0.12802710508775814</v>
      </c>
      <c r="J15" s="198">
        <v>0.49525848228620356</v>
      </c>
      <c r="K15" s="198">
        <v>0.4004354478051077</v>
      </c>
      <c r="L15" s="207"/>
      <c r="M15" s="198">
        <v>0.32943767040983746</v>
      </c>
      <c r="N15" s="198">
        <v>0.20545945745115635</v>
      </c>
      <c r="O15" s="17"/>
      <c r="P15" s="18">
        <f t="shared" ref="P15:W15" si="23">+((P8+P9)-(D8+D9))/(D8+D9)</f>
        <v>0.55527294071610256</v>
      </c>
      <c r="Q15" s="18">
        <f t="shared" si="23"/>
        <v>0.47067147487104594</v>
      </c>
      <c r="R15" s="18">
        <f t="shared" si="23"/>
        <v>0.58377739534305084</v>
      </c>
      <c r="S15" s="18">
        <f t="shared" si="23"/>
        <v>0.51544753722120873</v>
      </c>
      <c r="T15" s="18">
        <f t="shared" si="23"/>
        <v>0.39197734940576101</v>
      </c>
      <c r="U15" s="18">
        <f t="shared" si="23"/>
        <v>0.38014345035862596</v>
      </c>
      <c r="V15" s="18">
        <f t="shared" si="23"/>
        <v>0.44140468418942902</v>
      </c>
      <c r="W15" s="18">
        <f t="shared" si="23"/>
        <v>0.43710520049862062</v>
      </c>
      <c r="X15" s="17"/>
      <c r="Y15" s="18">
        <f>+((Y8+Y9)-(M8+M9))/(M8+M9)</f>
        <v>0.48089487593598595</v>
      </c>
      <c r="Z15" s="18">
        <f>+((Z8+Z9)-(N8+N9))/(N8+N9)</f>
        <v>0.44588472021028813</v>
      </c>
      <c r="AA15" s="17"/>
      <c r="AB15" s="18">
        <f t="shared" ref="AB15:AI15" si="24">+((AB8+AB9)-(P8+P9))/(P8+P9)</f>
        <v>0.48965278651402677</v>
      </c>
      <c r="AC15" s="18">
        <f t="shared" si="24"/>
        <v>0.48983487491464373</v>
      </c>
      <c r="AD15" s="18">
        <f t="shared" si="24"/>
        <v>0.34261101801424382</v>
      </c>
      <c r="AE15" s="18">
        <f t="shared" si="24"/>
        <v>0.33625867246556912</v>
      </c>
      <c r="AF15" s="18">
        <f t="shared" si="24"/>
        <v>0.41026515474464992</v>
      </c>
      <c r="AG15" s="18">
        <f t="shared" si="24"/>
        <v>0.38142184378270394</v>
      </c>
      <c r="AH15" s="18">
        <f t="shared" si="24"/>
        <v>0.30241843372895649</v>
      </c>
      <c r="AI15" s="18">
        <f t="shared" si="24"/>
        <v>0.28282247453827775</v>
      </c>
      <c r="AJ15" s="17"/>
      <c r="AK15" s="18">
        <f>+((AK8+AK9)-(Y8+Y9))/(Y8+Y9)</f>
        <v>0.37625323765971413</v>
      </c>
      <c r="AL15" s="18">
        <f>+((AL8+AL9)-(Z8+Z9))/(Z8+Z9)</f>
        <v>0.36126193340134288</v>
      </c>
      <c r="AM15" s="17"/>
      <c r="AN15" s="18">
        <f t="shared" ref="AN15:AS15" si="25">+((AN8+AN9)-(AB8+AB9))/(AB8+AB9)</f>
        <v>0.23665153594426275</v>
      </c>
      <c r="AO15" s="18">
        <f t="shared" si="25"/>
        <v>0.22667944457754766</v>
      </c>
      <c r="AP15" s="18">
        <f t="shared" si="25"/>
        <v>0.10615870663260331</v>
      </c>
      <c r="AQ15" s="18">
        <f t="shared" si="25"/>
        <v>0.10111009938586113</v>
      </c>
      <c r="AR15" s="18">
        <f t="shared" si="25"/>
        <v>-1.1745705476436032E-3</v>
      </c>
      <c r="AS15" s="18">
        <f t="shared" si="25"/>
        <v>-3.3832353371613597E-3</v>
      </c>
      <c r="AT15" s="18">
        <f t="shared" ref="AT15" si="26">+((AT8+AT9)-(AH8+AH9))/(AH8+AH9)</f>
        <v>0.28561623987676737</v>
      </c>
      <c r="AU15" s="18">
        <f t="shared" ref="AU15" si="27">+((AU8+AU9)-(AI8+AI9))/(AI8+AI9)</f>
        <v>0.28165836017747531</v>
      </c>
      <c r="AV15" s="17"/>
      <c r="AW15" s="18">
        <f>+((AW8+AW9)-(AB8+AB9+AD8+AD9+AF8+AF9+AH8+AH9))/(AB8+AB9+AD8+AD9+AF8+AF9+AH8+AH9)</f>
        <v>0.15898740446415505</v>
      </c>
      <c r="AX15" s="18">
        <f>+((AX8+AX9)-(AC8+AC9+AE8+AE9+AG8+AG9+AI8+AI9))/(AC8+AC9+AE8+AE9+AG8+AG9+AI8+AI9)</f>
        <v>0.15408551780912602</v>
      </c>
      <c r="AY15" s="17"/>
      <c r="AZ15" s="18">
        <f t="shared" ref="AZ15" si="28">+((AZ8+AZ9)-(AN8+AN9))/(AN8+AN9)</f>
        <v>0.20346057977942439</v>
      </c>
      <c r="BA15" s="18">
        <f t="shared" ref="BA15" si="29">+((BA8+BA9)-(AO8+AO9))/(AO8+AO9)</f>
        <v>0.19720618206521751</v>
      </c>
      <c r="BB15" s="198">
        <f t="shared" ref="BB15" si="30">+((BB8+BB9)-(AP8+AP9))/(AP8+AP9)</f>
        <v>0.15570208302113001</v>
      </c>
      <c r="BC15" s="198">
        <f t="shared" ref="BC15" si="31">+((BC8+BC9)-(AQ8+AQ9))/(AQ8+AQ9)</f>
        <v>0.15335350833978478</v>
      </c>
      <c r="BD15" s="198">
        <f>+((BD8+BD9)-(AR8+AR9))/(AR8+AR9)</f>
        <v>0.28543635593293604</v>
      </c>
      <c r="BE15" s="198">
        <f>+((BE8+BE9)-(AS8+AS9))/(AS8+AS9)</f>
        <v>0.28413723999723567</v>
      </c>
      <c r="BF15" s="17"/>
      <c r="BG15" s="18">
        <f>+((BG8+BG9)-(AN8+AN9+AP8+AP9+AR8+AR9))/(AN8+AN9+AP8+AP9+AR8+AR9)</f>
        <v>0.21519466266173776</v>
      </c>
      <c r="BH15" s="18">
        <f>+((BH8+BH9)-(AO8+AO9+AQ8+AQ9+AS8+AS9))/(AO8+AO9+AQ8+AQ9+AS8+AS9)</f>
        <v>0.21183467741935494</v>
      </c>
      <c r="BI15" s="17"/>
      <c r="BJ15" s="345"/>
      <c r="BK15" s="17"/>
      <c r="BL15" s="17"/>
      <c r="BM15" s="17"/>
      <c r="BN15" s="17"/>
      <c r="BO15" s="17"/>
    </row>
    <row r="16" spans="1:67" s="27" customFormat="1" ht="17.75" thickBot="1">
      <c r="A16" s="351"/>
      <c r="B16" s="223" t="s">
        <v>70</v>
      </c>
      <c r="C16" s="17"/>
      <c r="D16" s="175"/>
      <c r="E16" s="176"/>
      <c r="F16" s="199"/>
      <c r="G16" s="200"/>
      <c r="H16" s="198"/>
      <c r="I16" s="198"/>
      <c r="J16" s="198"/>
      <c r="K16" s="198"/>
      <c r="L16" s="207"/>
      <c r="M16" s="198"/>
      <c r="N16" s="198"/>
      <c r="O16" s="17"/>
      <c r="P16" s="18">
        <v>0.52600000000000002</v>
      </c>
      <c r="Q16" s="18">
        <v>0.44400000000000001</v>
      </c>
      <c r="R16" s="18">
        <v>0.55300000000000005</v>
      </c>
      <c r="S16" s="18">
        <v>0.48599999999999999</v>
      </c>
      <c r="T16" s="18">
        <v>0.38300000000000001</v>
      </c>
      <c r="U16" s="18">
        <v>0.371</v>
      </c>
      <c r="V16" s="18">
        <v>0.44700000000000001</v>
      </c>
      <c r="W16" s="18">
        <v>0.442</v>
      </c>
      <c r="X16" s="17"/>
      <c r="Y16" s="18">
        <v>0.46800000000000003</v>
      </c>
      <c r="Z16" s="18">
        <v>0.433</v>
      </c>
      <c r="AA16" s="17"/>
      <c r="AB16" s="18">
        <v>0.503</v>
      </c>
      <c r="AC16" s="18">
        <v>0.503</v>
      </c>
      <c r="AD16" s="18">
        <v>0.36799999999999999</v>
      </c>
      <c r="AE16" s="18">
        <v>0.36199999999999999</v>
      </c>
      <c r="AF16" s="18">
        <v>0.443</v>
      </c>
      <c r="AG16" s="18">
        <v>0.41399999999999998</v>
      </c>
      <c r="AH16" s="18">
        <v>0.32200000000000001</v>
      </c>
      <c r="AI16" s="18">
        <v>0.30199999999999999</v>
      </c>
      <c r="AJ16" s="17"/>
      <c r="AK16" s="18">
        <v>0.39900000000000002</v>
      </c>
      <c r="AL16" s="18">
        <v>0.38400000000000001</v>
      </c>
      <c r="AM16" s="17"/>
      <c r="AN16" s="18">
        <v>0.251</v>
      </c>
      <c r="AO16" s="18">
        <v>0.24099999999999999</v>
      </c>
      <c r="AP16" s="18">
        <v>0.10303272333181213</v>
      </c>
      <c r="AQ16" s="18">
        <v>9.7953202992943633E-2</v>
      </c>
      <c r="AR16" s="18">
        <v>-8.9999999999999993E-3</v>
      </c>
      <c r="AS16" s="18">
        <v>-1.2E-2</v>
      </c>
      <c r="AT16" s="18">
        <v>0.28096699642588918</v>
      </c>
      <c r="AU16" s="18">
        <v>0.27698259142271553</v>
      </c>
      <c r="AV16" s="17"/>
      <c r="AW16" s="18">
        <v>0.15785293303948777</v>
      </c>
      <c r="AX16" s="18">
        <v>0.15298681977787187</v>
      </c>
      <c r="AY16" s="17"/>
      <c r="AZ16" s="18">
        <v>0.20197478739738911</v>
      </c>
      <c r="BA16" s="18">
        <v>0.19572721908259419</v>
      </c>
      <c r="BB16" s="198">
        <v>0.15644818106362759</v>
      </c>
      <c r="BC16" s="198">
        <v>0.15409815259589696</v>
      </c>
      <c r="BD16" s="198">
        <v>0.27543568283297704</v>
      </c>
      <c r="BE16" s="198">
        <v>0.27414323599829571</v>
      </c>
      <c r="BF16" s="17"/>
      <c r="BG16" s="18">
        <v>0.21159579953379137</v>
      </c>
      <c r="BH16" s="18">
        <v>0.2082443932596367</v>
      </c>
      <c r="BI16" s="17"/>
      <c r="BJ16" s="231"/>
      <c r="BK16" s="17"/>
      <c r="BL16" s="17"/>
      <c r="BM16" s="17"/>
      <c r="BN16" s="17"/>
      <c r="BO16" s="17"/>
    </row>
    <row r="17" spans="1:67" s="27" customFormat="1" ht="17.75" thickBot="1">
      <c r="A17" s="19"/>
      <c r="B17" s="230"/>
      <c r="C17" s="17"/>
      <c r="D17" s="162"/>
      <c r="E17" s="162"/>
      <c r="F17" s="207"/>
      <c r="G17" s="207"/>
      <c r="H17" s="207"/>
      <c r="I17" s="207"/>
      <c r="J17" s="207"/>
      <c r="K17" s="207"/>
      <c r="L17" s="207"/>
      <c r="M17" s="207"/>
      <c r="N17" s="207"/>
      <c r="O17" s="17"/>
      <c r="P17" s="162"/>
      <c r="Q17" s="162"/>
      <c r="R17" s="162"/>
      <c r="S17" s="162"/>
      <c r="T17" s="162"/>
      <c r="U17" s="162"/>
      <c r="V17" s="162"/>
      <c r="W17" s="162"/>
      <c r="X17" s="17"/>
      <c r="Y17" s="162"/>
      <c r="Z17" s="162"/>
      <c r="AA17" s="17"/>
      <c r="AB17" s="162"/>
      <c r="AC17" s="162"/>
      <c r="AD17" s="162"/>
      <c r="AE17" s="162"/>
      <c r="AF17" s="162"/>
      <c r="AG17" s="162"/>
      <c r="AH17" s="162"/>
      <c r="AI17" s="162"/>
      <c r="AJ17" s="17"/>
      <c r="AK17" s="162"/>
      <c r="AL17" s="162"/>
      <c r="AM17" s="17"/>
      <c r="AN17" s="162"/>
      <c r="AO17" s="162"/>
      <c r="AP17" s="162"/>
      <c r="AQ17" s="162"/>
      <c r="AR17" s="162"/>
      <c r="AS17" s="162"/>
      <c r="AT17" s="162"/>
      <c r="AU17" s="162"/>
      <c r="AV17" s="17"/>
      <c r="AW17" s="162"/>
      <c r="AX17" s="162"/>
      <c r="AY17" s="17"/>
      <c r="AZ17" s="162"/>
      <c r="BA17" s="162"/>
      <c r="BB17" s="162"/>
      <c r="BC17" s="162"/>
      <c r="BD17" s="162"/>
      <c r="BE17" s="162"/>
      <c r="BF17" s="17"/>
      <c r="BG17" s="162"/>
      <c r="BH17" s="162"/>
      <c r="BI17" s="17"/>
      <c r="BJ17" s="22"/>
      <c r="BK17" s="17"/>
      <c r="BL17" s="17"/>
      <c r="BM17" s="17"/>
      <c r="BN17" s="17"/>
      <c r="BO17" s="17"/>
    </row>
    <row r="18" spans="1:67" ht="23.25" customHeight="1" thickBot="1">
      <c r="A18" s="313" t="s">
        <v>43</v>
      </c>
      <c r="B18" s="12" t="s">
        <v>71</v>
      </c>
      <c r="C18" s="14"/>
      <c r="D18" s="171">
        <f>'Gross Profit'!B32</f>
        <v>94.141999999999996</v>
      </c>
      <c r="E18" s="13">
        <f>'Gross Profit'!B43</f>
        <v>98.908999999999992</v>
      </c>
      <c r="F18" s="13">
        <f>'Gross Profit'!C32</f>
        <v>106.33099999999999</v>
      </c>
      <c r="G18" s="172">
        <f>'Gross Profit'!C43</f>
        <v>110.23100000000002</v>
      </c>
      <c r="H18" s="13">
        <f>'Gross Profit'!D32</f>
        <v>114.845</v>
      </c>
      <c r="I18" s="172">
        <f>'Gross Profit'!D43</f>
        <v>118.295</v>
      </c>
      <c r="J18" s="13">
        <f>'Gross Profit'!E32</f>
        <v>121.26200000000003</v>
      </c>
      <c r="K18" s="172">
        <f>'Gross Profit'!E43</f>
        <v>123.28749999999998</v>
      </c>
      <c r="L18" s="21"/>
      <c r="M18" s="171">
        <f>'Gross Profit'!G32</f>
        <v>436.58000000000004</v>
      </c>
      <c r="N18" s="172">
        <f>'Gross Profit'!G43</f>
        <v>450.72249999999997</v>
      </c>
      <c r="O18" s="14"/>
      <c r="P18" s="13">
        <f>'Gross Profit'!I32</f>
        <v>106.37700000000001</v>
      </c>
      <c r="Q18" s="13">
        <f>'Gross Profit'!I43</f>
        <v>108.25500000000001</v>
      </c>
      <c r="R18" s="13">
        <f>'Gross Profit'!J32</f>
        <v>118.542</v>
      </c>
      <c r="S18" s="13">
        <f>'Gross Profit'!J43</f>
        <v>120.233</v>
      </c>
      <c r="T18" s="13">
        <f>'Gross Profit'!K32</f>
        <v>122</v>
      </c>
      <c r="U18" s="13">
        <f>'Gross Profit'!K43</f>
        <v>124.71299999999999</v>
      </c>
      <c r="V18" s="13">
        <f>'Gross Profit'!L32</f>
        <v>129.64100000000002</v>
      </c>
      <c r="W18" s="13">
        <f>'Gross Profit'!L43</f>
        <v>132.20900000000003</v>
      </c>
      <c r="X18" s="14"/>
      <c r="Y18" s="171">
        <f>'Gross Profit'!N32</f>
        <v>476.56</v>
      </c>
      <c r="Z18" s="172">
        <f>'Gross Profit'!N43</f>
        <v>485.41000000000008</v>
      </c>
      <c r="AA18" s="14"/>
      <c r="AB18" s="13">
        <f>'Gross Profit'!P32</f>
        <v>118.339</v>
      </c>
      <c r="AC18" s="13">
        <f>'Gross Profit'!P43</f>
        <v>120.34</v>
      </c>
      <c r="AD18" s="13">
        <f>'Gross Profit'!Q32</f>
        <v>125.58799999999999</v>
      </c>
      <c r="AE18" s="13">
        <f>'Gross Profit'!Q43</f>
        <v>127.271</v>
      </c>
      <c r="AF18" s="13">
        <f>'Gross Profit'!R32</f>
        <v>135.38800000000001</v>
      </c>
      <c r="AG18" s="13">
        <f>'Gross Profit'!R43</f>
        <v>136.999</v>
      </c>
      <c r="AH18" s="13">
        <f>'Gross Profit'!S32</f>
        <v>143.87499999999997</v>
      </c>
      <c r="AI18" s="13">
        <f>'Gross Profit'!S43</f>
        <v>145.72499999999997</v>
      </c>
      <c r="AJ18" s="14"/>
      <c r="AK18" s="13">
        <f>'Gross Profit'!U32</f>
        <v>523.18999999999994</v>
      </c>
      <c r="AL18" s="13">
        <f>'Gross Profit'!U43</f>
        <v>530.33500000000004</v>
      </c>
      <c r="AM18" s="14"/>
      <c r="AN18" s="13">
        <f>'Gross Profit'!W32</f>
        <v>126.79600000000002</v>
      </c>
      <c r="AO18" s="13">
        <f>'Gross Profit'!W43</f>
        <v>127.88000000000002</v>
      </c>
      <c r="AP18" s="13">
        <f>'Gross Profit'!X32</f>
        <v>121.43199999999999</v>
      </c>
      <c r="AQ18" s="13">
        <f>'Gross Profit'!X43</f>
        <v>123.46799999999999</v>
      </c>
      <c r="AR18" s="13">
        <f>'Gross Profit'!Y32</f>
        <v>122.23400000000001</v>
      </c>
      <c r="AS18" s="13">
        <f>'Gross Profit'!Y43</f>
        <v>122.89400000000001</v>
      </c>
      <c r="AT18" s="13">
        <f>'Gross Profit'!Z32</f>
        <v>165.91799999999998</v>
      </c>
      <c r="AU18" s="13">
        <f>'Gross Profit'!Z43</f>
        <v>170.47799999999998</v>
      </c>
      <c r="AV18" s="14"/>
      <c r="AW18" s="13">
        <f>'Gross Profit'!AB32</f>
        <v>536.38</v>
      </c>
      <c r="AX18" s="13">
        <f>'Gross Profit'!AB43</f>
        <v>544.72</v>
      </c>
      <c r="AY18" s="14"/>
      <c r="AZ18" s="13">
        <f>'Gross Profit'!AD32</f>
        <v>137.60500000000002</v>
      </c>
      <c r="BA18" s="13">
        <f>'Gross Profit'!AD43</f>
        <v>138.16100000000003</v>
      </c>
      <c r="BB18" s="13">
        <f>'Gross Profit'!AE32</f>
        <v>126.92600000000002</v>
      </c>
      <c r="BC18" s="13">
        <f>'Gross Profit'!AE43</f>
        <v>128.06800000000001</v>
      </c>
      <c r="BD18" s="13">
        <f>'Gross Profit'!AF32</f>
        <v>141.11599999999999</v>
      </c>
      <c r="BE18" s="13">
        <f>'Gross Profit'!AF43</f>
        <v>141.71599999999998</v>
      </c>
      <c r="BF18" s="14"/>
      <c r="BG18" s="13">
        <f>'Gross Profit'!AH32</f>
        <v>405.64700000000005</v>
      </c>
      <c r="BH18" s="13">
        <f>'Gross Profit'!AH43</f>
        <v>407.94500000000005</v>
      </c>
      <c r="BI18" s="14"/>
      <c r="BJ18" s="342" t="s">
        <v>43</v>
      </c>
      <c r="BK18" s="14"/>
      <c r="BL18" s="14"/>
      <c r="BM18" s="14"/>
      <c r="BN18" s="14"/>
      <c r="BO18" s="14"/>
    </row>
    <row r="19" spans="1:67" s="27" customFormat="1" ht="23.25" customHeight="1" thickBot="1">
      <c r="A19" s="314"/>
      <c r="B19" s="24" t="s">
        <v>72</v>
      </c>
      <c r="C19" s="17"/>
      <c r="D19" s="173">
        <f>'Gross Profit'!B33</f>
        <v>0.72938715425737977</v>
      </c>
      <c r="E19" s="18">
        <f>'Gross Profit'!B44</f>
        <v>0.74743070459148186</v>
      </c>
      <c r="F19" s="18">
        <f>'Gross Profit'!C33</f>
        <v>0.76350463498172572</v>
      </c>
      <c r="G19" s="174">
        <f>'Gross Profit'!C44</f>
        <v>0.77445848819318097</v>
      </c>
      <c r="H19" s="18">
        <f>'Gross Profit'!D33</f>
        <v>0.76444589404458407</v>
      </c>
      <c r="I19" s="174">
        <f>'Gross Profit'!D44</f>
        <v>0.77590843499934403</v>
      </c>
      <c r="J19" s="18">
        <f>'Gross Profit'!E33</f>
        <v>0.77210386236581052</v>
      </c>
      <c r="K19" s="174">
        <f>'Gross Profit'!E44</f>
        <v>0.77619857084395749</v>
      </c>
      <c r="L19" s="162"/>
      <c r="M19" s="173">
        <f>'Gross Profit'!G33</f>
        <v>0.75844648590051844</v>
      </c>
      <c r="N19" s="174">
        <f>'Gross Profit'!G44</f>
        <v>0.76920352925114344</v>
      </c>
      <c r="O19" s="17"/>
      <c r="P19" s="18">
        <f>'Gross Profit'!I33</f>
        <v>0.73641253556520114</v>
      </c>
      <c r="Q19" s="18">
        <f>'Gross Profit'!I44</f>
        <v>0.74406152915624224</v>
      </c>
      <c r="R19" s="18">
        <f>'Gross Profit'!J33</f>
        <v>0.75901855575048982</v>
      </c>
      <c r="S19" s="18">
        <f>'Gross Profit'!J44</f>
        <v>0.76488475803322076</v>
      </c>
      <c r="T19" s="18">
        <f>'Gross Profit'!K33</f>
        <v>0.7682087512829715</v>
      </c>
      <c r="U19" s="18">
        <f>'Gross Profit'!K44</f>
        <v>0.77500481608759686</v>
      </c>
      <c r="V19" s="18">
        <f>'Gross Profit'!L33</f>
        <v>0.74640589105690125</v>
      </c>
      <c r="W19" s="18">
        <f>'Gross Profit'!L44</f>
        <v>0.75247868501633497</v>
      </c>
      <c r="X19" s="17"/>
      <c r="Y19" s="173">
        <f>'Gross Profit'!N33</f>
        <v>0.75270600462149106</v>
      </c>
      <c r="Z19" s="174">
        <f>'Gross Profit'!N44</f>
        <v>0.75928359142812474</v>
      </c>
      <c r="AA19" s="17"/>
      <c r="AB19" s="18">
        <f>'Gross Profit'!P33</f>
        <v>0.74255648911004168</v>
      </c>
      <c r="AC19" s="18">
        <f>'Gross Profit'!P44</f>
        <v>0.74880219028062966</v>
      </c>
      <c r="AD19" s="18">
        <f>'Gross Profit'!Q33</f>
        <v>0.75455419370343668</v>
      </c>
      <c r="AE19" s="18">
        <f>'Gross Profit'!Q44</f>
        <v>0.76131768477974771</v>
      </c>
      <c r="AF19" s="18">
        <f>'Gross Profit'!R33</f>
        <v>0.77710048099551143</v>
      </c>
      <c r="AG19" s="18">
        <f>'Gross Profit'!R44</f>
        <v>0.78444272667411041</v>
      </c>
      <c r="AH19" s="18">
        <f>'Gross Profit'!S33</f>
        <v>0.77557302110960169</v>
      </c>
      <c r="AI19" s="18">
        <f>'Gross Profit'!S44</f>
        <v>0.78341719889039396</v>
      </c>
      <c r="AJ19" s="17"/>
      <c r="AK19" s="18">
        <f>'Gross Profit'!U33</f>
        <v>0.76318273120196267</v>
      </c>
      <c r="AL19" s="18">
        <f>'Gross Profit'!U44</f>
        <v>0.77023233251856471</v>
      </c>
      <c r="AM19" s="17"/>
      <c r="AN19" s="18">
        <f>'Gross Profit'!W33</f>
        <v>0.76181664153233319</v>
      </c>
      <c r="AO19" s="18">
        <f>'Gross Profit'!W44</f>
        <v>0.76544599140459491</v>
      </c>
      <c r="AP19" s="18">
        <f>'Gross Profit'!X33</f>
        <v>0.75424070956962463</v>
      </c>
      <c r="AQ19" s="18">
        <f>'Gross Profit'!X44</f>
        <v>0.76573576199601834</v>
      </c>
      <c r="AR19" s="18">
        <f>'Gross Profit'!Y33</f>
        <v>0.75866606255081703</v>
      </c>
      <c r="AS19" s="18">
        <f>'Gross Profit'!Y44</f>
        <v>0.76219478159479526</v>
      </c>
      <c r="AT19" s="18">
        <f>'Gross Profit'!Z33</f>
        <v>0.78748700716207942</v>
      </c>
      <c r="AU19" s="18">
        <f>'Gross Profit'!Z44</f>
        <v>0.80870381966186577</v>
      </c>
      <c r="AV19" s="17"/>
      <c r="AW19" s="18">
        <f>'Gross Profit'!AB33</f>
        <v>0.76708120723977757</v>
      </c>
      <c r="AX19" s="18">
        <f>'Gross Profit'!AB44</f>
        <v>0.77778475843437844</v>
      </c>
      <c r="AY19" s="17"/>
      <c r="AZ19" s="18">
        <f>'Gross Profit'!AD33</f>
        <v>0.79298441750034576</v>
      </c>
      <c r="BA19" s="18">
        <f>'Gross Profit'!AD44</f>
        <v>0.79618851136416036</v>
      </c>
      <c r="BB19" s="18">
        <f>'Gross Profit'!AE33</f>
        <v>0.7775946676142107</v>
      </c>
      <c r="BC19" s="18">
        <f>'Gross Profit'!AE44</f>
        <v>0.78459097341771378</v>
      </c>
      <c r="BD19" s="18">
        <f>'Gross Profit'!AF33</f>
        <v>0.78459673742619185</v>
      </c>
      <c r="BE19" s="18">
        <f>'Gross Profit'!AF44</f>
        <v>0.78793270246527813</v>
      </c>
      <c r="BF19" s="17"/>
      <c r="BG19" s="18">
        <f>'Gross Profit'!AH33</f>
        <v>0.78520174598104975</v>
      </c>
      <c r="BH19" s="18">
        <f>'Gross Profit'!AH44</f>
        <v>0.78964993273520911</v>
      </c>
      <c r="BI19" s="17"/>
      <c r="BJ19" s="343"/>
      <c r="BK19" s="17"/>
      <c r="BL19" s="17"/>
      <c r="BM19" s="17"/>
      <c r="BN19" s="17"/>
      <c r="BO19" s="17"/>
    </row>
    <row r="20" spans="1:67" s="27" customFormat="1" ht="23.25" customHeight="1" thickBot="1">
      <c r="A20" s="316"/>
      <c r="B20" s="24" t="s">
        <v>73</v>
      </c>
      <c r="C20" s="17"/>
      <c r="D20" s="173"/>
      <c r="E20" s="18"/>
      <c r="F20" s="18"/>
      <c r="G20" s="174"/>
      <c r="H20" s="18"/>
      <c r="I20" s="174"/>
      <c r="J20" s="18"/>
      <c r="K20" s="174"/>
      <c r="L20" s="162"/>
      <c r="M20" s="18"/>
      <c r="N20" s="18"/>
      <c r="O20" s="18" t="e">
        <f t="shared" ref="O20" si="32">+O18/C18-1</f>
        <v>#DIV/0!</v>
      </c>
      <c r="P20" s="18">
        <f>+P18/D18-1</f>
        <v>0.12996324700983641</v>
      </c>
      <c r="Q20" s="18">
        <f t="shared" ref="Q20" si="33">+Q18/E18-1</f>
        <v>9.4490895671779374E-2</v>
      </c>
      <c r="R20" s="18">
        <f t="shared" ref="R20" si="34">+R18/F18-1</f>
        <v>0.11483951058487185</v>
      </c>
      <c r="S20" s="18">
        <f t="shared" ref="S20" si="35">+S18/G18-1</f>
        <v>9.0736725603505208E-2</v>
      </c>
      <c r="T20" s="18">
        <f t="shared" ref="T20" si="36">+T18/H18-1</f>
        <v>6.2301362706256302E-2</v>
      </c>
      <c r="U20" s="18">
        <f t="shared" ref="U20" si="37">+U18/I18-1</f>
        <v>5.4254195020922102E-2</v>
      </c>
      <c r="V20" s="18">
        <f t="shared" ref="V20" si="38">+V18/J18-1</f>
        <v>6.9098316042948138E-2</v>
      </c>
      <c r="W20" s="18">
        <f t="shared" ref="W20" si="39">+W18/K18-1</f>
        <v>7.2363378282470192E-2</v>
      </c>
      <c r="X20" s="17"/>
      <c r="Y20" s="18">
        <f t="shared" ref="Y20" si="40">+Y18/M18-1</f>
        <v>9.157542718402123E-2</v>
      </c>
      <c r="Z20" s="18">
        <f>+Z18/N18-1</f>
        <v>7.6959770146820095E-2</v>
      </c>
      <c r="AA20" s="17"/>
      <c r="AB20" s="18">
        <f t="shared" ref="AB20" si="41">+AB18/P18-1</f>
        <v>0.11244911964052373</v>
      </c>
      <c r="AC20" s="18">
        <f t="shared" ref="AC20" si="42">+AC18/Q18-1</f>
        <v>0.11163456653272363</v>
      </c>
      <c r="AD20" s="18">
        <f t="shared" ref="AD20" si="43">+AD18/R18-1</f>
        <v>5.9438848678105671E-2</v>
      </c>
      <c r="AE20" s="18">
        <f t="shared" ref="AE20" si="44">+AE18/S18-1</f>
        <v>5.8536341936074043E-2</v>
      </c>
      <c r="AF20" s="18">
        <f t="shared" ref="AF20" si="45">+AF18/T18-1</f>
        <v>0.10973770491803281</v>
      </c>
      <c r="AG20" s="18">
        <f t="shared" ref="AG20" si="46">+AG18/U18-1</f>
        <v>9.8514188576972694E-2</v>
      </c>
      <c r="AH20" s="18">
        <f t="shared" ref="AH20" si="47">+AH18/V18-1</f>
        <v>0.10979551222221318</v>
      </c>
      <c r="AI20" s="18">
        <f>+AI18/W18-1</f>
        <v>0.10223207194669004</v>
      </c>
      <c r="AJ20" s="17"/>
      <c r="AK20" s="18">
        <f>+AK18/Y18-1</f>
        <v>9.7847070673157566E-2</v>
      </c>
      <c r="AL20" s="18">
        <f>+AL18/Z18-1</f>
        <v>9.2550627304752497E-2</v>
      </c>
      <c r="AM20" s="17"/>
      <c r="AN20" s="18">
        <f t="shared" ref="AN20:AS20" si="48">+AN18/AB18-1</f>
        <v>7.1464183405301807E-2</v>
      </c>
      <c r="AO20" s="18">
        <f t="shared" si="48"/>
        <v>6.2655808542463109E-2</v>
      </c>
      <c r="AP20" s="18">
        <f t="shared" si="48"/>
        <v>-3.30923336624519E-2</v>
      </c>
      <c r="AQ20" s="18">
        <f t="shared" si="48"/>
        <v>-2.9881119815197588E-2</v>
      </c>
      <c r="AR20" s="18">
        <f>+AR18/AF18-1</f>
        <v>-9.7157798327769052E-2</v>
      </c>
      <c r="AS20" s="18">
        <f t="shared" si="48"/>
        <v>-0.10295695589018894</v>
      </c>
      <c r="AT20" s="18">
        <f>+AT18/AH18-1</f>
        <v>0.15320938314509136</v>
      </c>
      <c r="AU20" s="18">
        <f t="shared" ref="AU20" si="49">+AU18/AI18-1</f>
        <v>0.1698610396294391</v>
      </c>
      <c r="AV20" s="17"/>
      <c r="AW20" s="18">
        <f>+AW18/(AB18+AD18+AF18+AH18)-1</f>
        <v>2.5210726504711678E-2</v>
      </c>
      <c r="AX20" s="18">
        <f>+AX18/(AC18+AE18+AG18+AI18)-1</f>
        <v>2.7124364788294164E-2</v>
      </c>
      <c r="AY20" s="17"/>
      <c r="AZ20" s="18">
        <f>+AZ18/AN18-1</f>
        <v>8.5247168680399943E-2</v>
      </c>
      <c r="BA20" s="18">
        <f t="shared" ref="BA20" si="50">+BA18/AO18-1</f>
        <v>8.0395683453237332E-2</v>
      </c>
      <c r="BB20" s="18">
        <f>+BB18/AP18-1</f>
        <v>4.5243428420844722E-2</v>
      </c>
      <c r="BC20" s="18">
        <f t="shared" ref="BC20" si="51">+BC18/AQ18-1</f>
        <v>3.7256617099167499E-2</v>
      </c>
      <c r="BD20" s="18">
        <f>+BD18/AR18-1</f>
        <v>0.15447420521295196</v>
      </c>
      <c r="BE20" s="18">
        <f>+BE18/AS18-1</f>
        <v>0.15315637866779475</v>
      </c>
      <c r="BF20" s="17"/>
      <c r="BG20" s="18">
        <f>+BG18/(AN18+AP18+AR18)-1</f>
        <v>9.4976002936873583E-2</v>
      </c>
      <c r="BH20" s="18">
        <f>+BH18/(AO18+AQ18+AS18)-1</f>
        <v>9.0056701278851792E-2</v>
      </c>
      <c r="BI20" s="17"/>
      <c r="BJ20" s="344"/>
      <c r="BK20" s="17"/>
      <c r="BL20" s="17"/>
      <c r="BM20" s="17"/>
      <c r="BN20" s="17"/>
      <c r="BO20" s="17"/>
    </row>
    <row r="21" spans="1:67" ht="14.5">
      <c r="A21" s="28"/>
      <c r="B21" s="2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row>
    <row r="22" spans="1:67" ht="20.25">
      <c r="A22" s="28"/>
      <c r="B22" s="29"/>
      <c r="C22" s="14"/>
      <c r="D22" s="14"/>
      <c r="E22" s="14"/>
      <c r="F22" s="14"/>
      <c r="G22" s="14"/>
      <c r="H22" s="14"/>
      <c r="I22" s="14"/>
      <c r="J22" s="14"/>
      <c r="K22" s="14"/>
      <c r="L22" s="14"/>
      <c r="M22" s="14"/>
      <c r="N22" s="270"/>
      <c r="O22" s="14"/>
      <c r="P22" s="246"/>
      <c r="Q22" s="246"/>
      <c r="R22" s="246"/>
      <c r="S22" s="246"/>
      <c r="T22" s="246"/>
      <c r="U22" s="246"/>
      <c r="V22" s="246"/>
      <c r="W22" s="246"/>
      <c r="X22" s="14"/>
      <c r="Y22" s="246"/>
      <c r="Z22" s="246"/>
      <c r="AA22" s="14"/>
      <c r="AB22" s="246"/>
      <c r="AC22" s="246"/>
      <c r="AD22" s="246"/>
      <c r="AE22" s="246"/>
      <c r="AF22" s="246"/>
      <c r="AG22" s="246"/>
      <c r="AH22" s="271"/>
      <c r="AI22" s="246"/>
      <c r="AJ22" s="14"/>
      <c r="AK22" s="246"/>
      <c r="AL22" s="246"/>
      <c r="AM22" s="14"/>
      <c r="AN22" s="14"/>
      <c r="AO22" s="14"/>
      <c r="AP22" s="14"/>
      <c r="AQ22" s="14"/>
      <c r="AR22" s="14"/>
      <c r="AS22" s="14"/>
      <c r="AT22" s="14"/>
      <c r="AU22" s="14"/>
      <c r="AV22" s="14"/>
      <c r="AW22" s="246"/>
      <c r="AX22" s="246"/>
      <c r="AY22" s="14"/>
      <c r="AZ22" s="14"/>
      <c r="BA22" s="14"/>
      <c r="BB22" s="14"/>
      <c r="BC22" s="14"/>
      <c r="BD22" s="14"/>
      <c r="BE22" s="14"/>
      <c r="BF22" s="14"/>
      <c r="BG22" s="246"/>
      <c r="BH22" s="246"/>
      <c r="BI22" s="14"/>
      <c r="BJ22" s="14"/>
      <c r="BK22" s="14"/>
      <c r="BL22" s="14"/>
      <c r="BM22" s="14"/>
      <c r="BN22" s="14"/>
      <c r="BO22" s="14"/>
    </row>
    <row r="23" spans="1:67">
      <c r="P23" s="246"/>
      <c r="Q23" s="246"/>
      <c r="R23" s="246"/>
      <c r="S23" s="246"/>
      <c r="T23" s="246"/>
      <c r="U23" s="246"/>
      <c r="V23" s="246"/>
      <c r="W23" s="246"/>
      <c r="Y23" s="246"/>
      <c r="Z23" s="246"/>
      <c r="AB23" s="246"/>
      <c r="AC23" s="246"/>
      <c r="AD23" s="246"/>
      <c r="AE23" s="246"/>
      <c r="AF23" s="246"/>
      <c r="AG23" s="246"/>
      <c r="AH23" s="246"/>
      <c r="AI23" s="246"/>
      <c r="AK23" s="246"/>
      <c r="AL23" s="246"/>
      <c r="AW23" s="246"/>
      <c r="AX23" s="246"/>
      <c r="BG23" s="246"/>
      <c r="BH23" s="246"/>
    </row>
    <row r="24" spans="1:67">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V24" s="36"/>
    </row>
    <row r="26" spans="1:67">
      <c r="AR26" s="273"/>
    </row>
    <row r="27" spans="1:67">
      <c r="AR27" s="273"/>
      <c r="AT27" s="272"/>
      <c r="AU27" s="272"/>
    </row>
    <row r="29" spans="1:67">
      <c r="AR29" s="273"/>
      <c r="AS29" s="273"/>
      <c r="AT29" s="272"/>
      <c r="AU29" s="272"/>
    </row>
  </sheetData>
  <mergeCells count="44">
    <mergeCell ref="BD4:BE4"/>
    <mergeCell ref="AZ3:BE3"/>
    <mergeCell ref="A6:A16"/>
    <mergeCell ref="AF4:AG4"/>
    <mergeCell ref="AK3:AL3"/>
    <mergeCell ref="AN3:AU3"/>
    <mergeCell ref="Y4:Z4"/>
    <mergeCell ref="R4:S4"/>
    <mergeCell ref="T4:U4"/>
    <mergeCell ref="V4:W4"/>
    <mergeCell ref="M4:N4"/>
    <mergeCell ref="P4:Q4"/>
    <mergeCell ref="A18:A20"/>
    <mergeCell ref="AH4:AI4"/>
    <mergeCell ref="AB3:AI3"/>
    <mergeCell ref="A5:B5"/>
    <mergeCell ref="A3:B3"/>
    <mergeCell ref="D3:K3"/>
    <mergeCell ref="M3:N3"/>
    <mergeCell ref="P3:W3"/>
    <mergeCell ref="A4:B4"/>
    <mergeCell ref="D4:E4"/>
    <mergeCell ref="F4:G4"/>
    <mergeCell ref="H4:I4"/>
    <mergeCell ref="J4:K4"/>
    <mergeCell ref="Y3:Z3"/>
    <mergeCell ref="AB4:AC4"/>
    <mergeCell ref="AD4:AE4"/>
    <mergeCell ref="BJ18:BJ20"/>
    <mergeCell ref="BJ10:BJ11"/>
    <mergeCell ref="BJ7:BJ9"/>
    <mergeCell ref="BJ13:BJ15"/>
    <mergeCell ref="AK4:AL4"/>
    <mergeCell ref="AP4:AQ4"/>
    <mergeCell ref="AW4:AX4"/>
    <mergeCell ref="AN4:AO4"/>
    <mergeCell ref="AR4:AS4"/>
    <mergeCell ref="AT4:AU4"/>
    <mergeCell ref="BB4:BC4"/>
    <mergeCell ref="BJ3:BJ5"/>
    <mergeCell ref="AW3:AX3"/>
    <mergeCell ref="AZ4:BA4"/>
    <mergeCell ref="BG3:BH3"/>
    <mergeCell ref="BG4:BH4"/>
  </mergeCells>
  <pageMargins left="0.25" right="0.25" top="0.75" bottom="0.75" header="0.3" footer="0.3"/>
  <pageSetup scale="3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B2C00-FAE3-4F29-AE61-D3BBDF694297}">
  <sheetPr codeName="Sheet5">
    <tabColor rgb="FF0079FF"/>
    <pageSetUpPr fitToPage="1"/>
  </sheetPr>
  <dimension ref="A1:BO20"/>
  <sheetViews>
    <sheetView showGridLines="0" zoomScale="70" zoomScaleNormal="70" zoomScaleSheetLayoutView="85" workbookViewId="0">
      <pane xSplit="2" ySplit="5" topLeftCell="C6" activePane="bottomRight" state="frozen"/>
      <selection pane="topRight" activeCell="C1" sqref="C1"/>
      <selection pane="bottomLeft" activeCell="A6" sqref="A6"/>
      <selection pane="bottomRight" activeCell="AK14" sqref="AK14"/>
    </sheetView>
  </sheetViews>
  <sheetFormatPr defaultColWidth="9.1328125" defaultRowHeight="14.25" outlineLevelCol="1"/>
  <cols>
    <col min="1" max="1" width="11.40625" style="7" customWidth="1"/>
    <col min="2" max="2" width="80.1328125" style="7" customWidth="1"/>
    <col min="3" max="3" width="1.40625" style="7" customWidth="1"/>
    <col min="4" max="4" width="15.40625" style="7" hidden="1" customWidth="1" outlineLevel="1"/>
    <col min="5" max="5" width="17.86328125" style="7" hidden="1" customWidth="1" outlineLevel="1"/>
    <col min="6" max="6" width="15.40625" style="7" hidden="1" customWidth="1" outlineLevel="1"/>
    <col min="7" max="11" width="17.86328125" style="7" hidden="1" customWidth="1" outlineLevel="1"/>
    <col min="12" max="12" width="2.1328125" style="7" hidden="1" customWidth="1" outlineLevel="1"/>
    <col min="13" max="13" width="15.40625" style="7" customWidth="1" collapsed="1"/>
    <col min="14" max="14" width="17.86328125" style="7" customWidth="1"/>
    <col min="15" max="15" width="1.40625" style="7" customWidth="1"/>
    <col min="16" max="23" width="15.40625" style="7" hidden="1" customWidth="1" outlineLevel="1"/>
    <col min="24" max="24" width="1.40625" style="7" hidden="1" customWidth="1" outlineLevel="1"/>
    <col min="25" max="25" width="15.40625" style="7" customWidth="1" collapsed="1"/>
    <col min="26" max="26" width="17.86328125" style="7" customWidth="1"/>
    <col min="27" max="27" width="1.40625" style="7" customWidth="1"/>
    <col min="28" max="35" width="16.40625" style="7" hidden="1" customWidth="1" outlineLevel="1"/>
    <col min="36" max="36" width="1.40625" style="7" hidden="1" customWidth="1" outlineLevel="1"/>
    <col min="37" max="37" width="16.40625" style="7" customWidth="1" collapsed="1"/>
    <col min="38" max="38" width="16.40625" style="7" customWidth="1"/>
    <col min="39" max="39" width="3.40625" style="7" customWidth="1"/>
    <col min="40" max="45" width="17.26953125" style="7" customWidth="1"/>
    <col min="46" max="47" width="13.26953125" style="7" customWidth="1"/>
    <col min="48" max="48" width="3.1328125" style="7" customWidth="1"/>
    <col min="49" max="50" width="16.40625" style="7" customWidth="1"/>
    <col min="51" max="51" width="3.40625" style="7" customWidth="1"/>
    <col min="52" max="57" width="18.40625" style="7" customWidth="1"/>
    <col min="58" max="58" width="4" style="7" customWidth="1"/>
    <col min="59" max="60" width="18.40625" style="7" customWidth="1"/>
    <col min="61" max="61" width="4" style="7" customWidth="1"/>
    <col min="62" max="62" width="45.86328125" style="7" bestFit="1" customWidth="1"/>
    <col min="63" max="63" width="12" style="7" bestFit="1" customWidth="1"/>
    <col min="64" max="16384" width="9.1328125" style="7"/>
  </cols>
  <sheetData>
    <row r="1" spans="1:67" ht="18">
      <c r="A1" s="5" t="s">
        <v>4</v>
      </c>
      <c r="B1" s="6"/>
    </row>
    <row r="2" spans="1:67" ht="15" thickBot="1"/>
    <row r="3" spans="1:67" s="8" customFormat="1" ht="15" customHeight="1" thickBot="1">
      <c r="A3" s="336" t="s">
        <v>18</v>
      </c>
      <c r="B3" s="337"/>
      <c r="D3" s="307" t="s">
        <v>19</v>
      </c>
      <c r="E3" s="308"/>
      <c r="F3" s="308"/>
      <c r="G3" s="308"/>
      <c r="H3" s="308"/>
      <c r="I3" s="308"/>
      <c r="J3" s="308"/>
      <c r="K3" s="309"/>
      <c r="L3" s="167"/>
      <c r="M3" s="307" t="s">
        <v>20</v>
      </c>
      <c r="N3" s="309"/>
      <c r="P3" s="307" t="s">
        <v>19</v>
      </c>
      <c r="Q3" s="308"/>
      <c r="R3" s="308"/>
      <c r="S3" s="308"/>
      <c r="T3" s="308"/>
      <c r="U3" s="308"/>
      <c r="V3" s="308"/>
      <c r="W3" s="309"/>
      <c r="Y3" s="307" t="s">
        <v>20</v>
      </c>
      <c r="Z3" s="309"/>
      <c r="AB3" s="307" t="s">
        <v>19</v>
      </c>
      <c r="AC3" s="308"/>
      <c r="AD3" s="308"/>
      <c r="AE3" s="308"/>
      <c r="AF3" s="308"/>
      <c r="AG3" s="308"/>
      <c r="AH3" s="308"/>
      <c r="AI3" s="309"/>
      <c r="AK3" s="307" t="s">
        <v>20</v>
      </c>
      <c r="AL3" s="309"/>
      <c r="AN3" s="307" t="s">
        <v>21</v>
      </c>
      <c r="AO3" s="308"/>
      <c r="AP3" s="308"/>
      <c r="AQ3" s="308"/>
      <c r="AR3" s="308"/>
      <c r="AS3" s="308"/>
      <c r="AT3" s="308"/>
      <c r="AU3" s="309"/>
      <c r="AW3" s="307" t="s">
        <v>22</v>
      </c>
      <c r="AX3" s="309"/>
      <c r="AZ3" s="307" t="s">
        <v>21</v>
      </c>
      <c r="BA3" s="308"/>
      <c r="BB3" s="308"/>
      <c r="BC3" s="308"/>
      <c r="BD3" s="308"/>
      <c r="BE3" s="309"/>
      <c r="BG3" s="307" t="s">
        <v>318</v>
      </c>
      <c r="BH3" s="309"/>
      <c r="BJ3" s="331" t="s">
        <v>28</v>
      </c>
    </row>
    <row r="4" spans="1:67" s="8" customFormat="1" ht="18.75" customHeight="1" thickBot="1">
      <c r="A4" s="334"/>
      <c r="B4" s="335"/>
      <c r="D4" s="317">
        <v>43951</v>
      </c>
      <c r="E4" s="318"/>
      <c r="F4" s="328">
        <v>44043</v>
      </c>
      <c r="G4" s="318"/>
      <c r="H4" s="328">
        <v>44135</v>
      </c>
      <c r="I4" s="318"/>
      <c r="J4" s="328">
        <v>44227</v>
      </c>
      <c r="K4" s="318"/>
      <c r="L4" s="169"/>
      <c r="M4" s="317">
        <v>44227</v>
      </c>
      <c r="N4" s="318"/>
      <c r="P4" s="328">
        <v>44316</v>
      </c>
      <c r="Q4" s="318"/>
      <c r="R4" s="328">
        <v>44408</v>
      </c>
      <c r="S4" s="318"/>
      <c r="T4" s="328">
        <v>44500</v>
      </c>
      <c r="U4" s="318"/>
      <c r="V4" s="328">
        <v>44592</v>
      </c>
      <c r="W4" s="318"/>
      <c r="Y4" s="317">
        <v>44592</v>
      </c>
      <c r="Z4" s="318"/>
      <c r="AB4" s="328">
        <v>44681</v>
      </c>
      <c r="AC4" s="318"/>
      <c r="AD4" s="328">
        <v>44773</v>
      </c>
      <c r="AE4" s="318"/>
      <c r="AF4" s="328">
        <v>44865</v>
      </c>
      <c r="AG4" s="318"/>
      <c r="AH4" s="328">
        <v>44957</v>
      </c>
      <c r="AI4" s="318"/>
      <c r="AK4" s="328">
        <v>44957</v>
      </c>
      <c r="AL4" s="318"/>
      <c r="AN4" s="328" t="s">
        <v>23</v>
      </c>
      <c r="AO4" s="318"/>
      <c r="AP4" s="328">
        <v>45138</v>
      </c>
      <c r="AQ4" s="318"/>
      <c r="AR4" s="328">
        <v>45230</v>
      </c>
      <c r="AS4" s="318"/>
      <c r="AT4" s="328">
        <v>45322</v>
      </c>
      <c r="AU4" s="318"/>
      <c r="AV4"/>
      <c r="AW4" s="328">
        <v>45322</v>
      </c>
      <c r="AX4" s="318"/>
      <c r="AZ4" s="328">
        <v>45412</v>
      </c>
      <c r="BA4" s="318"/>
      <c r="BB4" s="328">
        <v>45504</v>
      </c>
      <c r="BC4" s="318"/>
      <c r="BD4" s="328">
        <v>45596</v>
      </c>
      <c r="BE4" s="318"/>
      <c r="BF4"/>
      <c r="BG4" s="328">
        <v>45596</v>
      </c>
      <c r="BH4" s="318"/>
      <c r="BI4"/>
      <c r="BJ4" s="332"/>
      <c r="BK4" s="8" t="s">
        <v>29</v>
      </c>
    </row>
    <row r="5" spans="1:67" s="8" customFormat="1" ht="42" customHeight="1" thickBot="1">
      <c r="A5" s="347" t="s">
        <v>24</v>
      </c>
      <c r="B5" s="348"/>
      <c r="D5" s="170" t="s">
        <v>30</v>
      </c>
      <c r="E5" s="11" t="s">
        <v>31</v>
      </c>
      <c r="F5" s="10" t="s">
        <v>30</v>
      </c>
      <c r="G5" s="11" t="s">
        <v>31</v>
      </c>
      <c r="H5" s="10" t="s">
        <v>30</v>
      </c>
      <c r="I5" s="11" t="s">
        <v>31</v>
      </c>
      <c r="J5" s="10" t="s">
        <v>30</v>
      </c>
      <c r="K5" s="11" t="s">
        <v>31</v>
      </c>
      <c r="L5" s="168"/>
      <c r="M5" s="170" t="s">
        <v>30</v>
      </c>
      <c r="N5" s="11" t="s">
        <v>31</v>
      </c>
      <c r="P5" s="9" t="s">
        <v>30</v>
      </c>
      <c r="Q5" s="11" t="s">
        <v>31</v>
      </c>
      <c r="R5" s="9" t="s">
        <v>30</v>
      </c>
      <c r="S5" s="11" t="s">
        <v>31</v>
      </c>
      <c r="T5" s="9" t="s">
        <v>30</v>
      </c>
      <c r="U5" s="11" t="s">
        <v>31</v>
      </c>
      <c r="V5" s="9" t="s">
        <v>30</v>
      </c>
      <c r="W5" s="11" t="s">
        <v>31</v>
      </c>
      <c r="Y5" s="170" t="s">
        <v>30</v>
      </c>
      <c r="Z5" s="11" t="s">
        <v>31</v>
      </c>
      <c r="AB5" s="9" t="s">
        <v>30</v>
      </c>
      <c r="AC5" s="11" t="s">
        <v>31</v>
      </c>
      <c r="AD5" s="9" t="s">
        <v>30</v>
      </c>
      <c r="AE5" s="11" t="s">
        <v>31</v>
      </c>
      <c r="AF5" s="9" t="s">
        <v>30</v>
      </c>
      <c r="AG5" s="11" t="s">
        <v>31</v>
      </c>
      <c r="AH5" s="9" t="s">
        <v>30</v>
      </c>
      <c r="AI5" s="11" t="s">
        <v>31</v>
      </c>
      <c r="AK5" s="9" t="s">
        <v>30</v>
      </c>
      <c r="AL5" s="11" t="s">
        <v>31</v>
      </c>
      <c r="AN5" s="9" t="s">
        <v>30</v>
      </c>
      <c r="AO5" s="11" t="s">
        <v>31</v>
      </c>
      <c r="AP5" s="9" t="s">
        <v>30</v>
      </c>
      <c r="AQ5" s="11" t="s">
        <v>31</v>
      </c>
      <c r="AR5" s="9" t="s">
        <v>30</v>
      </c>
      <c r="AS5" s="11" t="s">
        <v>31</v>
      </c>
      <c r="AT5" s="9" t="s">
        <v>30</v>
      </c>
      <c r="AU5" s="11" t="s">
        <v>31</v>
      </c>
      <c r="AV5"/>
      <c r="AW5" s="9" t="s">
        <v>30</v>
      </c>
      <c r="AX5" s="11" t="s">
        <v>31</v>
      </c>
      <c r="AZ5" s="9" t="s">
        <v>30</v>
      </c>
      <c r="BA5" s="11" t="s">
        <v>31</v>
      </c>
      <c r="BB5" s="9" t="s">
        <v>30</v>
      </c>
      <c r="BC5" s="11" t="s">
        <v>31</v>
      </c>
      <c r="BD5" s="9" t="s">
        <v>30</v>
      </c>
      <c r="BE5" s="11" t="s">
        <v>31</v>
      </c>
      <c r="BF5"/>
      <c r="BG5" s="9" t="s">
        <v>30</v>
      </c>
      <c r="BH5" s="11" t="s">
        <v>31</v>
      </c>
      <c r="BI5"/>
      <c r="BJ5" s="333"/>
    </row>
    <row r="6" spans="1:67" ht="17.5" thickBot="1">
      <c r="A6" s="313" t="s">
        <v>32</v>
      </c>
      <c r="B6" s="26" t="s">
        <v>35</v>
      </c>
      <c r="D6" s="171">
        <f t="shared" ref="D6:K6" si="0">+SUM(D7:D8)</f>
        <v>56.795000000000002</v>
      </c>
      <c r="E6" s="13">
        <f t="shared" si="0"/>
        <v>56.795000000000002</v>
      </c>
      <c r="F6" s="13">
        <f t="shared" si="0"/>
        <v>64.813000000000002</v>
      </c>
      <c r="G6" s="172">
        <f t="shared" si="0"/>
        <v>64.813000000000002</v>
      </c>
      <c r="H6" s="13">
        <f t="shared" si="0"/>
        <v>64.989000000000004</v>
      </c>
      <c r="I6" s="172">
        <f t="shared" si="0"/>
        <v>64.989000000000004</v>
      </c>
      <c r="J6" s="13">
        <f t="shared" si="0"/>
        <v>68.025999999999996</v>
      </c>
      <c r="K6" s="172">
        <f t="shared" si="0"/>
        <v>68.025999999999996</v>
      </c>
      <c r="L6" s="21"/>
      <c r="M6" s="171">
        <f>+SUM(M7:M8)</f>
        <v>254.62300000000002</v>
      </c>
      <c r="N6" s="172">
        <f>+SUM(N7:N8)</f>
        <v>254.62300000000002</v>
      </c>
      <c r="O6" s="14"/>
      <c r="P6" s="13">
        <f t="shared" ref="P6:W6" si="1">+SUM(P7:P8)</f>
        <v>56.451000000000001</v>
      </c>
      <c r="Q6" s="13">
        <f t="shared" si="1"/>
        <v>56.451000000000001</v>
      </c>
      <c r="R6" s="13">
        <f t="shared" si="1"/>
        <v>58.438999999999993</v>
      </c>
      <c r="S6" s="13">
        <f t="shared" si="1"/>
        <v>58.438999999999993</v>
      </c>
      <c r="T6" s="13">
        <f t="shared" si="1"/>
        <v>66.009</v>
      </c>
      <c r="U6" s="13">
        <f t="shared" si="1"/>
        <v>66.009</v>
      </c>
      <c r="V6" s="13">
        <f t="shared" si="1"/>
        <v>60.480999999999995</v>
      </c>
      <c r="W6" s="13">
        <f t="shared" si="1"/>
        <v>60.480999999999995</v>
      </c>
      <c r="X6" s="14"/>
      <c r="Y6" s="171">
        <f>+SUM(Y7:Y8)</f>
        <v>241.38</v>
      </c>
      <c r="Z6" s="172">
        <f>+SUM(Z7:Z8)</f>
        <v>241.38</v>
      </c>
      <c r="AA6" s="14"/>
      <c r="AB6" s="13">
        <f t="shared" ref="AB6:AI6" si="2">+SUM(AB7:AB8)</f>
        <v>58.539000000000001</v>
      </c>
      <c r="AC6" s="13">
        <f t="shared" si="2"/>
        <v>58.539000000000001</v>
      </c>
      <c r="AD6" s="13">
        <f t="shared" si="2"/>
        <v>56.459000000000003</v>
      </c>
      <c r="AE6" s="13">
        <f t="shared" si="2"/>
        <v>56.459000000000003</v>
      </c>
      <c r="AF6" s="13">
        <f t="shared" si="2"/>
        <v>50.971000000000004</v>
      </c>
      <c r="AG6" s="13">
        <f t="shared" si="2"/>
        <v>50.971000000000004</v>
      </c>
      <c r="AH6" s="13">
        <f t="shared" si="2"/>
        <v>50.739000000000004</v>
      </c>
      <c r="AI6" s="13">
        <f t="shared" si="2"/>
        <v>50.739000000000004</v>
      </c>
      <c r="AJ6" s="14"/>
      <c r="AK6" s="13">
        <f>+SUM(AK7:AK8)</f>
        <v>216.70800000000003</v>
      </c>
      <c r="AL6" s="13">
        <f>+SUM(AL7:AL8)</f>
        <v>216.70800000000003</v>
      </c>
      <c r="AM6" s="14"/>
      <c r="AN6" s="13">
        <f t="shared" ref="AN6:AS6" si="3">+SUM(AN7:AN8)</f>
        <v>50.126999999999995</v>
      </c>
      <c r="AO6" s="13">
        <f t="shared" si="3"/>
        <v>50.126999999999995</v>
      </c>
      <c r="AP6" s="13">
        <f t="shared" si="3"/>
        <v>49.165999999999997</v>
      </c>
      <c r="AQ6" s="13">
        <f t="shared" si="3"/>
        <v>49.165999999999997</v>
      </c>
      <c r="AR6" s="13">
        <f t="shared" si="3"/>
        <v>57.429999999999993</v>
      </c>
      <c r="AS6" s="13">
        <f t="shared" si="3"/>
        <v>57.429999999999993</v>
      </c>
      <c r="AT6" s="13">
        <f t="shared" ref="AT6:AU6" si="4">+SUM(AT7:AT8)</f>
        <v>54.415999999999997</v>
      </c>
      <c r="AU6" s="13">
        <f t="shared" si="4"/>
        <v>54.415999999999997</v>
      </c>
      <c r="AV6"/>
      <c r="AW6" s="13">
        <f>+SUM(AW7:AW8)</f>
        <v>211.13900000000001</v>
      </c>
      <c r="AX6" s="13">
        <f>+SUM(AX7:AX8)</f>
        <v>211.13900000000001</v>
      </c>
      <c r="AY6" s="14"/>
      <c r="AZ6" s="13">
        <f t="shared" ref="AZ6:BA6" si="5">+SUM(AZ7:AZ8)</f>
        <v>47.748999999999995</v>
      </c>
      <c r="BA6" s="13">
        <f t="shared" si="5"/>
        <v>47.748999999999995</v>
      </c>
      <c r="BB6" s="13">
        <f>+SUM(BB7:BB8)</f>
        <v>46.941000000000003</v>
      </c>
      <c r="BC6" s="13">
        <f>+SUM(BC7:BC8)</f>
        <v>46.941000000000003</v>
      </c>
      <c r="BD6" s="13">
        <f>+SUM(BD7:BD8)</f>
        <v>44.335000000000001</v>
      </c>
      <c r="BE6" s="13">
        <f>+SUM(BE7:BE8)</f>
        <v>44.335000000000001</v>
      </c>
      <c r="BF6"/>
      <c r="BG6" s="13">
        <f>+SUM(BG7:BG8)</f>
        <v>139.02500000000001</v>
      </c>
      <c r="BH6" s="13">
        <f>+SUM(BH7:BH8)</f>
        <v>139.02500000000001</v>
      </c>
      <c r="BI6"/>
      <c r="BJ6" s="325" t="s">
        <v>34</v>
      </c>
      <c r="BK6" s="14"/>
      <c r="BL6" s="14"/>
      <c r="BM6" s="14"/>
      <c r="BN6" s="14"/>
      <c r="BO6" s="14"/>
    </row>
    <row r="7" spans="1:67" ht="17.5" thickBot="1">
      <c r="A7" s="314"/>
      <c r="B7" s="12" t="s">
        <v>74</v>
      </c>
      <c r="D7" s="171">
        <v>28.524999999999999</v>
      </c>
      <c r="E7" s="13">
        <v>28.524999999999999</v>
      </c>
      <c r="F7" s="13">
        <v>35.829000000000001</v>
      </c>
      <c r="G7" s="172">
        <v>35.829000000000001</v>
      </c>
      <c r="H7" s="13">
        <v>35.460999999999999</v>
      </c>
      <c r="I7" s="172">
        <v>35.460999999999999</v>
      </c>
      <c r="J7" s="13">
        <v>42.024999999999999</v>
      </c>
      <c r="K7" s="172">
        <v>42.024999999999999</v>
      </c>
      <c r="L7" s="21"/>
      <c r="M7" s="171">
        <v>141.84</v>
      </c>
      <c r="N7" s="172">
        <v>141.84</v>
      </c>
      <c r="O7" s="14"/>
      <c r="P7" s="13">
        <v>29.323</v>
      </c>
      <c r="Q7" s="13">
        <v>29.323</v>
      </c>
      <c r="R7" s="13">
        <v>32.348999999999997</v>
      </c>
      <c r="S7" s="13">
        <v>32.348999999999997</v>
      </c>
      <c r="T7" s="13">
        <v>40.436</v>
      </c>
      <c r="U7" s="13">
        <v>40.436</v>
      </c>
      <c r="V7" s="13">
        <v>35.97</v>
      </c>
      <c r="W7" s="13">
        <v>35.97</v>
      </c>
      <c r="X7" s="14"/>
      <c r="Y7" s="171">
        <v>138.078</v>
      </c>
      <c r="Z7" s="172">
        <v>138.078</v>
      </c>
      <c r="AA7" s="14"/>
      <c r="AB7" s="13">
        <v>33.258000000000003</v>
      </c>
      <c r="AC7" s="13">
        <v>33.258000000000003</v>
      </c>
      <c r="AD7" s="13">
        <v>30.79</v>
      </c>
      <c r="AE7" s="13">
        <v>30.79</v>
      </c>
      <c r="AF7" s="13">
        <v>24.425000000000001</v>
      </c>
      <c r="AG7" s="13">
        <v>24.425000000000001</v>
      </c>
      <c r="AH7" s="13">
        <v>28.138000000000002</v>
      </c>
      <c r="AI7" s="13">
        <v>28.138000000000002</v>
      </c>
      <c r="AJ7" s="14"/>
      <c r="AK7" s="13">
        <v>116.611</v>
      </c>
      <c r="AL7" s="13">
        <v>116.611</v>
      </c>
      <c r="AM7" s="14"/>
      <c r="AN7" s="13">
        <v>24.334</v>
      </c>
      <c r="AO7" s="13">
        <v>24.334</v>
      </c>
      <c r="AP7" s="13">
        <f>'Revenue Metrics Reconciliation'!Y11</f>
        <v>25.212</v>
      </c>
      <c r="AQ7" s="13">
        <f>'Revenue Metrics Reconciliation'!Y29</f>
        <v>25.212</v>
      </c>
      <c r="AR7" s="13">
        <f>'Revenue Metrics Reconciliation'!Z11</f>
        <v>24.556999999999999</v>
      </c>
      <c r="AS7" s="13">
        <f>'Revenue Metrics Reconciliation'!Z29</f>
        <v>24.556999999999999</v>
      </c>
      <c r="AT7" s="13">
        <f>'Revenue Metrics Reconciliation'!AA11</f>
        <v>25.75</v>
      </c>
      <c r="AU7" s="13">
        <f>'Revenue Metrics Reconciliation'!AA29</f>
        <v>25.75</v>
      </c>
      <c r="AV7"/>
      <c r="AW7" s="13">
        <f>'Revenue Metrics Reconciliation'!AC11</f>
        <v>99.852999999999994</v>
      </c>
      <c r="AX7" s="13">
        <f>'Revenue Metrics Reconciliation'!AC29</f>
        <v>99.852999999999994</v>
      </c>
      <c r="AY7" s="14"/>
      <c r="AZ7" s="13">
        <v>24.9</v>
      </c>
      <c r="BA7" s="13">
        <v>24.9</v>
      </c>
      <c r="BB7" s="13">
        <v>23.834</v>
      </c>
      <c r="BC7" s="281">
        <v>23.834</v>
      </c>
      <c r="BD7" s="13">
        <v>23.471</v>
      </c>
      <c r="BE7" s="281">
        <v>23.471</v>
      </c>
      <c r="BF7"/>
      <c r="BG7" s="13">
        <f>AZ7+BB7+BD7</f>
        <v>72.204999999999998</v>
      </c>
      <c r="BH7" s="13">
        <f>BA7+BC7+BE7</f>
        <v>72.204999999999998</v>
      </c>
      <c r="BI7"/>
      <c r="BJ7" s="326"/>
      <c r="BK7" s="14"/>
      <c r="BL7" s="14"/>
      <c r="BM7" s="14"/>
      <c r="BN7" s="14"/>
      <c r="BO7" s="14"/>
    </row>
    <row r="8" spans="1:67" ht="17.5" thickBot="1">
      <c r="A8" s="314"/>
      <c r="B8" s="12" t="s">
        <v>75</v>
      </c>
      <c r="C8" s="14"/>
      <c r="D8" s="171">
        <f>+'Revenue Metrics Reconciliation'!C12</f>
        <v>28.27</v>
      </c>
      <c r="E8" s="13">
        <f>+'Revenue Metrics Reconciliation'!C30</f>
        <v>28.27</v>
      </c>
      <c r="F8" s="13">
        <f>+'Revenue Metrics Reconciliation'!D12</f>
        <v>28.984000000000002</v>
      </c>
      <c r="G8" s="172">
        <f>+'Revenue Metrics Reconciliation'!D30</f>
        <v>28.984000000000002</v>
      </c>
      <c r="H8" s="13">
        <f>+'Revenue Metrics Reconciliation'!E12</f>
        <v>29.527999999999999</v>
      </c>
      <c r="I8" s="172">
        <f>+'Revenue Metrics Reconciliation'!E30</f>
        <v>29.527999999999999</v>
      </c>
      <c r="J8" s="13">
        <f>+'Revenue Metrics Reconciliation'!F12</f>
        <v>26.001000000000001</v>
      </c>
      <c r="K8" s="172">
        <f>+'Revenue Metrics Reconciliation'!F30</f>
        <v>26.001000000000001</v>
      </c>
      <c r="L8" s="21"/>
      <c r="M8" s="171">
        <f>+'Revenue Metrics Reconciliation'!H12</f>
        <v>112.78300000000002</v>
      </c>
      <c r="N8" s="172">
        <f>+'Revenue Metrics Reconciliation'!H30</f>
        <v>112.78300000000002</v>
      </c>
      <c r="O8" s="14"/>
      <c r="P8" s="13">
        <f>+'Revenue Metrics Reconciliation'!J12</f>
        <v>27.128</v>
      </c>
      <c r="Q8" s="13">
        <f>+'Revenue Metrics Reconciliation'!J30</f>
        <v>27.128</v>
      </c>
      <c r="R8" s="13">
        <f>+'Revenue Metrics Reconciliation'!K12</f>
        <v>26.09</v>
      </c>
      <c r="S8" s="13">
        <f>+'Revenue Metrics Reconciliation'!K30</f>
        <v>26.09</v>
      </c>
      <c r="T8" s="13">
        <f>+'Revenue Metrics Reconciliation'!L12</f>
        <v>25.573</v>
      </c>
      <c r="U8" s="13">
        <f>+'Revenue Metrics Reconciliation'!L30</f>
        <v>25.573</v>
      </c>
      <c r="V8" s="13">
        <f>+'Revenue Metrics Reconciliation'!M12</f>
        <v>24.510999999999999</v>
      </c>
      <c r="W8" s="13">
        <f>+'Revenue Metrics Reconciliation'!M30</f>
        <v>24.510999999999999</v>
      </c>
      <c r="X8" s="14"/>
      <c r="Y8" s="171">
        <f>+'Revenue Metrics Reconciliation'!O12</f>
        <v>103.30199999999999</v>
      </c>
      <c r="Z8" s="172">
        <f>+'Revenue Metrics Reconciliation'!O30</f>
        <v>103.30199999999999</v>
      </c>
      <c r="AA8" s="14"/>
      <c r="AB8" s="13">
        <f>+'Revenue Metrics Reconciliation'!Q12</f>
        <v>25.280999999999999</v>
      </c>
      <c r="AC8" s="13">
        <f>+'Revenue Metrics Reconciliation'!Q30</f>
        <v>25.280999999999999</v>
      </c>
      <c r="AD8" s="13">
        <f>+'Revenue Metrics Reconciliation'!R12</f>
        <v>25.669</v>
      </c>
      <c r="AE8" s="13">
        <f>+'Revenue Metrics Reconciliation'!R30</f>
        <v>25.669</v>
      </c>
      <c r="AF8" s="13">
        <f>+'Revenue Metrics Reconciliation'!S12</f>
        <v>26.545999999999999</v>
      </c>
      <c r="AG8" s="13">
        <f>+'Revenue Metrics Reconciliation'!S30</f>
        <v>26.545999999999999</v>
      </c>
      <c r="AH8" s="13">
        <f>+'Revenue Metrics Reconciliation'!T12</f>
        <v>22.600999999999999</v>
      </c>
      <c r="AI8" s="13">
        <f>+'Revenue Metrics Reconciliation'!T30</f>
        <v>22.600999999999999</v>
      </c>
      <c r="AJ8" s="14"/>
      <c r="AK8" s="13">
        <f>+'Revenue Metrics Reconciliation'!V12</f>
        <v>100.09700000000001</v>
      </c>
      <c r="AL8" s="13">
        <f>+'Revenue Metrics Reconciliation'!V30</f>
        <v>100.09700000000001</v>
      </c>
      <c r="AM8" s="14"/>
      <c r="AN8" s="13">
        <f>+'Revenue Metrics Reconciliation'!X12</f>
        <v>25.792999999999999</v>
      </c>
      <c r="AO8" s="13">
        <f>+'Revenue Metrics Reconciliation'!X30</f>
        <v>25.792999999999999</v>
      </c>
      <c r="AP8" s="13">
        <f>'Revenue Metrics Reconciliation'!Y12</f>
        <v>23.954000000000001</v>
      </c>
      <c r="AQ8" s="13">
        <f>'Revenue Metrics Reconciliation'!Y30</f>
        <v>23.954000000000001</v>
      </c>
      <c r="AR8" s="13">
        <f>'Revenue Metrics Reconciliation'!Z12</f>
        <v>32.872999999999998</v>
      </c>
      <c r="AS8" s="13">
        <f>'Revenue Metrics Reconciliation'!Z30</f>
        <v>32.872999999999998</v>
      </c>
      <c r="AT8" s="13">
        <f>'Revenue Metrics Reconciliation'!AA12</f>
        <v>28.666</v>
      </c>
      <c r="AU8" s="13">
        <f>'Revenue Metrics Reconciliation'!AA30</f>
        <v>28.666</v>
      </c>
      <c r="AV8" s="14"/>
      <c r="AW8" s="13">
        <f>'Revenue Metrics Reconciliation'!AC12</f>
        <v>111.286</v>
      </c>
      <c r="AX8" s="13">
        <f>'Revenue Metrics Reconciliation'!AC30</f>
        <v>111.286</v>
      </c>
      <c r="AY8" s="14"/>
      <c r="AZ8" s="13">
        <v>22.849</v>
      </c>
      <c r="BA8" s="13">
        <v>22.849</v>
      </c>
      <c r="BB8" s="13">
        <v>23.106999999999999</v>
      </c>
      <c r="BC8" s="281">
        <v>23.106999999999999</v>
      </c>
      <c r="BD8" s="13">
        <v>20.864000000000001</v>
      </c>
      <c r="BE8" s="281">
        <v>20.864000000000001</v>
      </c>
      <c r="BF8" s="14"/>
      <c r="BG8" s="13">
        <f>AZ8+BB8+BD8</f>
        <v>66.820000000000007</v>
      </c>
      <c r="BH8" s="13">
        <f>BA8+BC8+BE8</f>
        <v>66.820000000000007</v>
      </c>
      <c r="BI8" s="14"/>
      <c r="BJ8" s="326"/>
      <c r="BK8" s="14"/>
      <c r="BL8" s="14"/>
      <c r="BM8" s="14"/>
      <c r="BN8" s="14"/>
      <c r="BO8" s="14"/>
    </row>
    <row r="9" spans="1:67" ht="17.5" thickBot="1">
      <c r="A9" s="353"/>
      <c r="B9" s="20"/>
      <c r="C9" s="14"/>
      <c r="D9" s="21"/>
      <c r="E9" s="21"/>
      <c r="F9" s="21"/>
      <c r="G9" s="21"/>
      <c r="H9" s="21"/>
      <c r="I9" s="21"/>
      <c r="J9" s="21"/>
      <c r="K9" s="21"/>
      <c r="L9" s="21"/>
      <c r="M9" s="21"/>
      <c r="N9" s="21"/>
      <c r="O9" s="14"/>
      <c r="P9" s="21"/>
      <c r="Q9" s="21"/>
      <c r="R9" s="21"/>
      <c r="S9" s="21"/>
      <c r="T9" s="21"/>
      <c r="U9" s="21"/>
      <c r="V9" s="21"/>
      <c r="W9" s="21"/>
      <c r="X9" s="14"/>
      <c r="Y9" s="21"/>
      <c r="Z9" s="21"/>
      <c r="AA9" s="14"/>
      <c r="AB9" s="21"/>
      <c r="AC9" s="21"/>
      <c r="AD9" s="21"/>
      <c r="AE9" s="21"/>
      <c r="AF9" s="21"/>
      <c r="AG9" s="21"/>
      <c r="AH9" s="21"/>
      <c r="AI9" s="21"/>
      <c r="AJ9" s="14"/>
      <c r="AK9" s="21"/>
      <c r="AL9" s="21"/>
      <c r="AM9" s="14"/>
      <c r="AN9" s="21"/>
      <c r="AO9" s="21"/>
      <c r="AP9" s="21"/>
      <c r="AQ9" s="21"/>
      <c r="AR9" s="21"/>
      <c r="AS9" s="21"/>
      <c r="AT9" s="21"/>
      <c r="AU9" s="21"/>
      <c r="AV9" s="14"/>
      <c r="AW9" s="21"/>
      <c r="AX9" s="21"/>
      <c r="AY9" s="14"/>
      <c r="AZ9" s="21"/>
      <c r="BA9" s="21"/>
      <c r="BB9" s="21"/>
      <c r="BC9" s="21"/>
      <c r="BD9" s="21"/>
      <c r="BE9" s="21"/>
      <c r="BF9" s="14"/>
      <c r="BG9" s="21"/>
      <c r="BH9" s="21"/>
      <c r="BI9" s="14"/>
      <c r="BJ9" s="346"/>
      <c r="BK9" s="14"/>
      <c r="BL9" s="14"/>
      <c r="BM9" s="14"/>
      <c r="BN9" s="14"/>
      <c r="BO9" s="14"/>
    </row>
    <row r="10" spans="1:67" s="27" customFormat="1" ht="18" customHeight="1" thickBot="1">
      <c r="A10" s="354"/>
      <c r="B10" s="223" t="s">
        <v>76</v>
      </c>
      <c r="C10" s="17"/>
      <c r="D10" s="183"/>
      <c r="E10" s="25"/>
      <c r="F10" s="25"/>
      <c r="G10" s="221"/>
      <c r="H10" s="25"/>
      <c r="I10" s="221"/>
      <c r="J10" s="25"/>
      <c r="K10" s="221"/>
      <c r="L10" s="222"/>
      <c r="M10" s="183"/>
      <c r="N10" s="221"/>
      <c r="O10" s="17"/>
      <c r="P10" s="228">
        <f>+P6/D6-1</f>
        <v>-6.0568712034509975E-3</v>
      </c>
      <c r="Q10" s="228">
        <f t="shared" ref="Q10:W10" si="6">+Q6/E6-1</f>
        <v>-6.0568712034509975E-3</v>
      </c>
      <c r="R10" s="228">
        <f t="shared" si="6"/>
        <v>-9.8344467930816526E-2</v>
      </c>
      <c r="S10" s="228">
        <f t="shared" si="6"/>
        <v>-9.8344467930816526E-2</v>
      </c>
      <c r="T10" s="228">
        <f t="shared" si="6"/>
        <v>1.5694963763098313E-2</v>
      </c>
      <c r="U10" s="228">
        <f t="shared" si="6"/>
        <v>1.5694963763098313E-2</v>
      </c>
      <c r="V10" s="228">
        <f t="shared" si="6"/>
        <v>-0.11091347425984188</v>
      </c>
      <c r="W10" s="228">
        <f t="shared" si="6"/>
        <v>-0.11091347425984188</v>
      </c>
      <c r="X10" s="17"/>
      <c r="Y10" s="228">
        <f>+Y6/M6-1</f>
        <v>-5.2010226884452782E-2</v>
      </c>
      <c r="Z10" s="228">
        <f>+Z6/N6-1</f>
        <v>-5.2010226884452782E-2</v>
      </c>
      <c r="AA10" s="17"/>
      <c r="AB10" s="228">
        <f t="shared" ref="AB10:AH10" si="7">+AB6/P6-1</f>
        <v>3.6987830153584644E-2</v>
      </c>
      <c r="AC10" s="228">
        <f t="shared" si="7"/>
        <v>3.6987830153584644E-2</v>
      </c>
      <c r="AD10" s="228">
        <f t="shared" si="7"/>
        <v>-3.3881483256044564E-2</v>
      </c>
      <c r="AE10" s="228">
        <f t="shared" si="7"/>
        <v>-3.3881483256044564E-2</v>
      </c>
      <c r="AF10" s="228">
        <f t="shared" si="7"/>
        <v>-0.22781741883682527</v>
      </c>
      <c r="AG10" s="228">
        <f t="shared" si="7"/>
        <v>-0.22781741883682527</v>
      </c>
      <c r="AH10" s="228">
        <f t="shared" si="7"/>
        <v>-0.16107537904465852</v>
      </c>
      <c r="AI10" s="228">
        <f>+AI6/W6-1</f>
        <v>-0.16107537904465852</v>
      </c>
      <c r="AJ10" s="17"/>
      <c r="AK10" s="228">
        <f>+AK6/Y6-1</f>
        <v>-0.10221227939348732</v>
      </c>
      <c r="AL10" s="228">
        <f>+AL6/Z6-1</f>
        <v>-0.10221227939348732</v>
      </c>
      <c r="AM10" s="17"/>
      <c r="AN10" s="228">
        <f>+AN6/AB6-1</f>
        <v>-0.14369907241326307</v>
      </c>
      <c r="AO10" s="228">
        <f t="shared" ref="AO10:AS10" si="8">+AO6/AC6-1</f>
        <v>-0.14369907241326307</v>
      </c>
      <c r="AP10" s="228">
        <f t="shared" si="8"/>
        <v>-0.12917338245452459</v>
      </c>
      <c r="AQ10" s="228">
        <f t="shared" si="8"/>
        <v>-0.12917338245452459</v>
      </c>
      <c r="AR10" s="228">
        <f t="shared" si="8"/>
        <v>0.12671911479076314</v>
      </c>
      <c r="AS10" s="228">
        <f t="shared" si="8"/>
        <v>0.12671911479076314</v>
      </c>
      <c r="AT10" s="228">
        <f t="shared" ref="AT10" si="9">+AT6/AH6-1</f>
        <v>7.2468909517333646E-2</v>
      </c>
      <c r="AU10" s="228">
        <f t="shared" ref="AU10" si="10">+AU6/AI6-1</f>
        <v>7.2468909517333646E-2</v>
      </c>
      <c r="AV10" s="17"/>
      <c r="AW10" s="228">
        <f>(+AW6/(AB6+AD6+AF6+AH6))-1</f>
        <v>-2.5698174502094884E-2</v>
      </c>
      <c r="AX10" s="228">
        <f>(+AX6/(AC6+AE6+AG6+AI6))-1</f>
        <v>-2.5698174502094884E-2</v>
      </c>
      <c r="AY10" s="17"/>
      <c r="AZ10" s="228">
        <f>+AZ6/AN6-1</f>
        <v>-4.7439503660701821E-2</v>
      </c>
      <c r="BA10" s="228">
        <f t="shared" ref="BA10" si="11">+BA6/AO6-1</f>
        <v>-4.7439503660701821E-2</v>
      </c>
      <c r="BB10" s="228">
        <f>+BB6/AP6-1</f>
        <v>-4.5254850913232558E-2</v>
      </c>
      <c r="BC10" s="228">
        <f>+BC6/AQ6-1</f>
        <v>-4.5254850913232558E-2</v>
      </c>
      <c r="BD10" s="228">
        <f>+BD6/AR6-1</f>
        <v>-0.22801671600208939</v>
      </c>
      <c r="BE10" s="228">
        <f>+BE6/AS6-1</f>
        <v>-0.22801671600208939</v>
      </c>
      <c r="BF10" s="17"/>
      <c r="BG10" s="228">
        <f>(+BG6/(AN6+AP6+AR6))-1</f>
        <v>-0.11292535237329548</v>
      </c>
      <c r="BH10" s="228">
        <f>(+BH6/(AO6+AQ6+AS6))-1</f>
        <v>-0.11292535237329548</v>
      </c>
      <c r="BI10" s="17"/>
      <c r="BJ10" s="345"/>
      <c r="BK10" s="17"/>
      <c r="BL10" s="17"/>
      <c r="BM10" s="17"/>
      <c r="BN10" s="17"/>
      <c r="BO10" s="17"/>
    </row>
    <row r="11" spans="1:67" s="27" customFormat="1" ht="17.75" thickBot="1">
      <c r="A11" s="19"/>
      <c r="B11" s="220"/>
      <c r="C11" s="17"/>
      <c r="D11" s="162"/>
      <c r="E11" s="162"/>
      <c r="F11" s="207"/>
      <c r="G11" s="207"/>
      <c r="H11" s="207"/>
      <c r="I11" s="207"/>
      <c r="J11" s="207"/>
      <c r="K11" s="207"/>
      <c r="L11" s="207"/>
      <c r="M11" s="207"/>
      <c r="N11" s="207"/>
      <c r="O11" s="17"/>
      <c r="P11" s="162"/>
      <c r="Q11" s="162"/>
      <c r="R11" s="162"/>
      <c r="S11" s="162"/>
      <c r="T11" s="162"/>
      <c r="U11" s="162"/>
      <c r="V11" s="162"/>
      <c r="W11" s="162"/>
      <c r="X11" s="17"/>
      <c r="Y11" s="162"/>
      <c r="Z11" s="162"/>
      <c r="AA11" s="17"/>
      <c r="AB11" s="162"/>
      <c r="AC11" s="162"/>
      <c r="AD11" s="162"/>
      <c r="AE11" s="162"/>
      <c r="AF11" s="162"/>
      <c r="AG11" s="162"/>
      <c r="AH11" s="162"/>
      <c r="AI11" s="162"/>
      <c r="AJ11" s="17"/>
      <c r="AK11" s="162"/>
      <c r="AL11" s="162"/>
      <c r="AM11" s="17"/>
      <c r="AN11" s="162"/>
      <c r="AO11" s="162"/>
      <c r="AP11" s="162"/>
      <c r="AQ11" s="162"/>
      <c r="AR11" s="162"/>
      <c r="AS11" s="162"/>
      <c r="AT11" s="162"/>
      <c r="AU11" s="162"/>
      <c r="AV11" s="17"/>
      <c r="AW11" s="162"/>
      <c r="AX11" s="162"/>
      <c r="AY11" s="17"/>
      <c r="AZ11" s="162"/>
      <c r="BA11" s="162"/>
      <c r="BB11" s="162"/>
      <c r="BC11" s="162"/>
      <c r="BD11" s="162"/>
      <c r="BE11" s="162"/>
      <c r="BF11" s="17"/>
      <c r="BG11" s="162"/>
      <c r="BH11" s="162"/>
      <c r="BI11" s="17"/>
      <c r="BJ11" s="22"/>
      <c r="BK11" s="17"/>
      <c r="BL11" s="17"/>
      <c r="BM11" s="17"/>
      <c r="BN11" s="17"/>
      <c r="BO11" s="17"/>
    </row>
    <row r="12" spans="1:67" ht="23.25" customHeight="1" thickBot="1">
      <c r="A12" s="313" t="s">
        <v>43</v>
      </c>
      <c r="B12" s="12" t="s">
        <v>77</v>
      </c>
      <c r="C12" s="14"/>
      <c r="D12" s="171">
        <f>'Gross Profit'!B50</f>
        <v>25.176000000000002</v>
      </c>
      <c r="E12" s="13">
        <f>'Gross Profit'!B61</f>
        <v>26.898000000000003</v>
      </c>
      <c r="F12" s="13">
        <f>'Gross Profit'!C50</f>
        <v>35.037000000000006</v>
      </c>
      <c r="G12" s="172">
        <f>'Gross Profit'!C61</f>
        <v>36.056000000000004</v>
      </c>
      <c r="H12" s="13">
        <f>'Gross Profit'!D50</f>
        <v>30.549000000000007</v>
      </c>
      <c r="I12" s="172">
        <f>'Gross Profit'!D61</f>
        <v>32.829000000000008</v>
      </c>
      <c r="J12" s="13">
        <f>'Gross Profit'!E50</f>
        <v>33.315999999999995</v>
      </c>
      <c r="K12" s="172">
        <f>'Gross Profit'!E61</f>
        <v>34.290999999999997</v>
      </c>
      <c r="L12" s="21"/>
      <c r="M12" s="171">
        <f>'Gross Profit'!G50</f>
        <v>124.078</v>
      </c>
      <c r="N12" s="172">
        <f>'Gross Profit'!G61</f>
        <v>130.07400000000001</v>
      </c>
      <c r="O12" s="14"/>
      <c r="P12" s="13">
        <f>'Gross Profit'!I50</f>
        <v>26.571000000000002</v>
      </c>
      <c r="Q12" s="13">
        <f>'Gross Profit'!I61</f>
        <v>27.559000000000001</v>
      </c>
      <c r="R12" s="13">
        <f>'Gross Profit'!J50</f>
        <v>27.933999999999994</v>
      </c>
      <c r="S12" s="13">
        <f>'Gross Profit'!J61</f>
        <v>28.791999999999994</v>
      </c>
      <c r="T12" s="13">
        <f>'Gross Profit'!K50</f>
        <v>35.484999999999999</v>
      </c>
      <c r="U12" s="13">
        <f>'Gross Profit'!K61</f>
        <v>36.475999999999999</v>
      </c>
      <c r="V12" s="13">
        <f>'Gross Profit'!L50</f>
        <v>27.163999999999994</v>
      </c>
      <c r="W12" s="13">
        <f>'Gross Profit'!L61</f>
        <v>27.937999999999995</v>
      </c>
      <c r="X12" s="14"/>
      <c r="Y12" s="171">
        <f>'Gross Profit'!N50</f>
        <v>117.154</v>
      </c>
      <c r="Z12" s="172">
        <f>'Gross Profit'!N61</f>
        <v>120.76499999999999</v>
      </c>
      <c r="AA12" s="14"/>
      <c r="AB12" s="13">
        <f>'Gross Profit'!P50</f>
        <v>26.471000000000004</v>
      </c>
      <c r="AC12" s="13">
        <f>'Gross Profit'!P61</f>
        <v>27.567000000000004</v>
      </c>
      <c r="AD12" s="13">
        <f>'Gross Profit'!Q50</f>
        <v>25.759000000000004</v>
      </c>
      <c r="AE12" s="13">
        <f>'Gross Profit'!Q61</f>
        <v>26.522000000000006</v>
      </c>
      <c r="AF12" s="13">
        <f>'Gross Profit'!R50</f>
        <v>22.958000000000002</v>
      </c>
      <c r="AG12" s="13">
        <f>'Gross Profit'!R61</f>
        <v>23.692</v>
      </c>
      <c r="AH12" s="13">
        <f>'Gross Profit'!S50</f>
        <v>21.990000000000006</v>
      </c>
      <c r="AI12" s="13">
        <f>'Gross Profit'!S61</f>
        <v>23.539000000000005</v>
      </c>
      <c r="AJ12" s="14"/>
      <c r="AK12" s="13">
        <f>'Gross Profit'!U50</f>
        <v>97.178000000000011</v>
      </c>
      <c r="AL12" s="13">
        <f>'Gross Profit'!U61</f>
        <v>101.32000000000001</v>
      </c>
      <c r="AM12" s="14"/>
      <c r="AN12" s="13">
        <f>'Gross Profit'!W50</f>
        <v>23.331999999999994</v>
      </c>
      <c r="AO12" s="13">
        <f>'Gross Profit'!W61</f>
        <v>23.624999999999993</v>
      </c>
      <c r="AP12" s="13">
        <f>'Gross Profit'!X50</f>
        <v>21.793999999999997</v>
      </c>
      <c r="AQ12" s="13">
        <f>'Gross Profit'!X61</f>
        <v>22.832999999999998</v>
      </c>
      <c r="AR12" s="13">
        <f>'Gross Profit'!Y50</f>
        <v>32.383999999999993</v>
      </c>
      <c r="AS12" s="13">
        <f>'Gross Profit'!Y61</f>
        <v>32.965999999999994</v>
      </c>
      <c r="AT12" s="13">
        <f>'Gross Profit'!Z50</f>
        <v>26.518999999999998</v>
      </c>
      <c r="AU12" s="13">
        <f>'Gross Profit'!Z61</f>
        <v>27.724999999999998</v>
      </c>
      <c r="AV12" s="14"/>
      <c r="AW12" s="13">
        <f>'Gross Profit'!AB50</f>
        <v>104.029</v>
      </c>
      <c r="AX12" s="13">
        <f>'Gross Profit'!AB61</f>
        <v>107.14899999999997</v>
      </c>
      <c r="AY12" s="14"/>
      <c r="AZ12" s="13">
        <f>'Gross Profit'!AD50</f>
        <v>21.268999999999995</v>
      </c>
      <c r="BA12" s="13">
        <f>'Gross Profit'!AD61</f>
        <v>21.976999999999993</v>
      </c>
      <c r="BB12" s="13">
        <f>'Gross Profit'!AE50</f>
        <v>20.141000000000002</v>
      </c>
      <c r="BC12" s="13">
        <f>'Gross Profit'!AE61</f>
        <v>21.590000000000003</v>
      </c>
      <c r="BD12" s="13">
        <f>'Gross Profit'!AF50</f>
        <v>19.010999999999999</v>
      </c>
      <c r="BE12" s="13">
        <f>'Gross Profit'!AF61</f>
        <v>19.594999999999999</v>
      </c>
      <c r="BF12" s="14"/>
      <c r="BG12" s="13">
        <f>'Gross Profit'!AH50</f>
        <v>60.420999999999992</v>
      </c>
      <c r="BH12" s="13">
        <f>'Gross Profit'!AH61</f>
        <v>63.161999999999992</v>
      </c>
      <c r="BI12" s="14"/>
      <c r="BJ12" s="342" t="s">
        <v>43</v>
      </c>
      <c r="BK12" s="14"/>
      <c r="BL12" s="14"/>
      <c r="BM12" s="14"/>
      <c r="BN12" s="14"/>
      <c r="BO12" s="14"/>
    </row>
    <row r="13" spans="1:67" s="27" customFormat="1" ht="23.25" customHeight="1" thickBot="1">
      <c r="A13" s="314"/>
      <c r="B13" s="24" t="s">
        <v>78</v>
      </c>
      <c r="C13" s="17"/>
      <c r="D13" s="173">
        <f>+D12/D6</f>
        <v>0.44327845761070517</v>
      </c>
      <c r="E13" s="173">
        <f>+E12/E6</f>
        <v>0.47359802799542217</v>
      </c>
      <c r="F13" s="18">
        <f t="shared" ref="F13:K13" si="12">+F12/F6</f>
        <v>0.5405859935506766</v>
      </c>
      <c r="G13" s="174">
        <f t="shared" si="12"/>
        <v>0.55630814805671702</v>
      </c>
      <c r="H13" s="18">
        <f t="shared" si="12"/>
        <v>0.47006416470479628</v>
      </c>
      <c r="I13" s="174">
        <f t="shared" si="12"/>
        <v>0.50514702488113383</v>
      </c>
      <c r="J13" s="18">
        <f t="shared" si="12"/>
        <v>0.48975391761973358</v>
      </c>
      <c r="K13" s="174">
        <f t="shared" si="12"/>
        <v>0.50408667274277486</v>
      </c>
      <c r="L13" s="162"/>
      <c r="M13" s="173">
        <f t="shared" ref="M13:N13" si="13">+M12/M6</f>
        <v>0.48730083299623361</v>
      </c>
      <c r="N13" s="174">
        <f t="shared" si="13"/>
        <v>0.51084937338732161</v>
      </c>
      <c r="O13" s="17"/>
      <c r="P13" s="18">
        <f t="shared" ref="P13:W13" si="14">+P12/P6</f>
        <v>0.47069139607801458</v>
      </c>
      <c r="Q13" s="18">
        <f t="shared" si="14"/>
        <v>0.48819330038440417</v>
      </c>
      <c r="R13" s="18">
        <f t="shared" si="14"/>
        <v>0.47800270367391634</v>
      </c>
      <c r="S13" s="18">
        <f t="shared" si="14"/>
        <v>0.49268467975153574</v>
      </c>
      <c r="T13" s="18">
        <f t="shared" si="14"/>
        <v>0.53757820903210163</v>
      </c>
      <c r="U13" s="18">
        <f t="shared" si="14"/>
        <v>0.55259131330576128</v>
      </c>
      <c r="V13" s="18">
        <f t="shared" si="14"/>
        <v>0.44913278550288516</v>
      </c>
      <c r="W13" s="18">
        <f t="shared" si="14"/>
        <v>0.46193019295315879</v>
      </c>
      <c r="X13" s="17"/>
      <c r="Y13" s="173">
        <f t="shared" ref="Y13:Z13" si="15">+Y12/Y6</f>
        <v>0.48535089899743145</v>
      </c>
      <c r="Z13" s="174">
        <f t="shared" si="15"/>
        <v>0.50031071339796163</v>
      </c>
      <c r="AA13" s="17"/>
      <c r="AB13" s="18">
        <f t="shared" ref="AB13:AI13" si="16">+AB12/AB6</f>
        <v>0.45219426365329102</v>
      </c>
      <c r="AC13" s="18">
        <f t="shared" si="16"/>
        <v>0.47091682468098195</v>
      </c>
      <c r="AD13" s="18">
        <f t="shared" si="16"/>
        <v>0.45624258311340976</v>
      </c>
      <c r="AE13" s="18">
        <f t="shared" si="16"/>
        <v>0.46975681467967911</v>
      </c>
      <c r="AF13" s="18">
        <f t="shared" si="16"/>
        <v>0.45041297992976398</v>
      </c>
      <c r="AG13" s="18">
        <f t="shared" si="16"/>
        <v>0.46481332522414703</v>
      </c>
      <c r="AH13" s="18">
        <f t="shared" si="16"/>
        <v>0.43339443031987235</v>
      </c>
      <c r="AI13" s="18">
        <f t="shared" si="16"/>
        <v>0.46392321488401433</v>
      </c>
      <c r="AJ13" s="17"/>
      <c r="AK13" s="18">
        <f t="shared" ref="AK13:AL13" si="17">+AK12/AK6</f>
        <v>0.44842829983203203</v>
      </c>
      <c r="AL13" s="18">
        <f t="shared" si="17"/>
        <v>0.46754157668383262</v>
      </c>
      <c r="AM13" s="17"/>
      <c r="AN13" s="18">
        <f t="shared" ref="AN13:AO13" si="18">+AN12/AN6</f>
        <v>0.46545773734713819</v>
      </c>
      <c r="AO13" s="18">
        <f t="shared" si="18"/>
        <v>0.47130289065772929</v>
      </c>
      <c r="AP13" s="18">
        <f t="shared" ref="AP13:AQ13" si="19">+AP12/AP6</f>
        <v>0.44327380710246916</v>
      </c>
      <c r="AQ13" s="18">
        <f t="shared" si="19"/>
        <v>0.46440629703453606</v>
      </c>
      <c r="AR13" s="18">
        <f>+AR12/AR6</f>
        <v>0.56388647048580876</v>
      </c>
      <c r="AS13" s="18">
        <f t="shared" ref="AS13:AU13" si="20">+AS12/AS6</f>
        <v>0.57402054675256831</v>
      </c>
      <c r="AT13" s="18">
        <f>+AT12/AT6</f>
        <v>0.48733828285798292</v>
      </c>
      <c r="AU13" s="18">
        <f t="shared" si="20"/>
        <v>0.50950088209350186</v>
      </c>
      <c r="AV13" s="17"/>
      <c r="AW13" s="18">
        <f>+AW12/AW6</f>
        <v>0.49270385859552235</v>
      </c>
      <c r="AX13" s="18">
        <f>+AX12/AX6</f>
        <v>0.50748085384509711</v>
      </c>
      <c r="AY13" s="17"/>
      <c r="AZ13" s="18">
        <f>+AZ12/AZ6</f>
        <v>0.44543341221805688</v>
      </c>
      <c r="BA13" s="18">
        <f t="shared" ref="BA13" si="21">+BA12/BA6</f>
        <v>0.46026094787325378</v>
      </c>
      <c r="BB13" s="18">
        <f>+BB12/BB6</f>
        <v>0.4290705353528898</v>
      </c>
      <c r="BC13" s="18">
        <f>+BC12/BC6</f>
        <v>0.45993907245265336</v>
      </c>
      <c r="BD13" s="18">
        <f>+BD12/BD6</f>
        <v>0.42880342844253971</v>
      </c>
      <c r="BE13" s="18">
        <f>+BE12/BE6</f>
        <v>0.44197586556896357</v>
      </c>
      <c r="BF13" s="17"/>
      <c r="BG13" s="18">
        <f>+BG12/BG6</f>
        <v>0.43460528681891741</v>
      </c>
      <c r="BH13" s="18">
        <f>+BH12/BH6</f>
        <v>0.45432116525804705</v>
      </c>
      <c r="BI13" s="17"/>
      <c r="BJ13" s="352"/>
      <c r="BK13" s="17"/>
      <c r="BL13" s="17"/>
      <c r="BM13" s="17"/>
      <c r="BN13" s="17"/>
      <c r="BO13" s="17"/>
    </row>
    <row r="14" spans="1:67" s="27" customFormat="1" ht="23.25" customHeight="1" thickBot="1">
      <c r="A14" s="316"/>
      <c r="B14" s="24" t="s">
        <v>79</v>
      </c>
      <c r="C14" s="17"/>
      <c r="D14" s="173"/>
      <c r="E14" s="18"/>
      <c r="F14" s="18"/>
      <c r="G14" s="174"/>
      <c r="H14" s="18"/>
      <c r="I14" s="174"/>
      <c r="J14" s="18"/>
      <c r="K14" s="174"/>
      <c r="L14" s="162"/>
      <c r="M14" s="18"/>
      <c r="N14" s="18"/>
      <c r="O14" s="18" t="e">
        <f t="shared" ref="O14:Q14" si="22">+O12/C12-1</f>
        <v>#DIV/0!</v>
      </c>
      <c r="P14" s="18">
        <f>+P12/D12-1</f>
        <v>5.5409914204003874E-2</v>
      </c>
      <c r="Q14" s="18">
        <f t="shared" si="22"/>
        <v>2.457431779314434E-2</v>
      </c>
      <c r="R14" s="18">
        <f t="shared" ref="R14" si="23">+R12/F12-1</f>
        <v>-0.20272854411051211</v>
      </c>
      <c r="S14" s="18">
        <f t="shared" ref="S14" si="24">+S12/G12-1</f>
        <v>-0.20146438872864458</v>
      </c>
      <c r="T14" s="18">
        <f t="shared" ref="T14" si="25">+T12/H12-1</f>
        <v>0.16157648368195332</v>
      </c>
      <c r="U14" s="18">
        <f t="shared" ref="U14" si="26">+U12/I12-1</f>
        <v>0.1110908038624383</v>
      </c>
      <c r="V14" s="18">
        <f t="shared" ref="V14" si="27">+V12/J12-1</f>
        <v>-0.18465602113098822</v>
      </c>
      <c r="W14" s="18">
        <f>+W12/K12-1</f>
        <v>-0.18526727129567533</v>
      </c>
      <c r="X14" s="17"/>
      <c r="Y14" s="18">
        <f>+Y12/M12-1</f>
        <v>-5.5803607408243305E-2</v>
      </c>
      <c r="Z14" s="18">
        <f>+Z12/N12-1</f>
        <v>-7.1566954195304455E-2</v>
      </c>
      <c r="AA14" s="17"/>
      <c r="AB14" s="18">
        <f t="shared" ref="AB14" si="28">+AB12/P12-1</f>
        <v>-3.763501561853122E-3</v>
      </c>
      <c r="AC14" s="18">
        <f t="shared" ref="AC14" si="29">+AC12/Q12-1</f>
        <v>2.9028629485838842E-4</v>
      </c>
      <c r="AD14" s="18">
        <f t="shared" ref="AD14" si="30">+AD12/R12-1</f>
        <v>-7.7862103529748317E-2</v>
      </c>
      <c r="AE14" s="18">
        <f t="shared" ref="AE14" si="31">+AE12/S12-1</f>
        <v>-7.8841344818004644E-2</v>
      </c>
      <c r="AF14" s="18">
        <f t="shared" ref="AF14" si="32">+AF12/T12-1</f>
        <v>-0.3530224038326053</v>
      </c>
      <c r="AG14" s="18">
        <f t="shared" ref="AG14" si="33">+AG12/U12-1</f>
        <v>-0.35047702598969188</v>
      </c>
      <c r="AH14" s="18">
        <f t="shared" ref="AH14" si="34">+AH12/V12-1</f>
        <v>-0.19047268443528165</v>
      </c>
      <c r="AI14" s="18">
        <f>+AI12/W12-1</f>
        <v>-0.15745579497458628</v>
      </c>
      <c r="AJ14" s="17"/>
      <c r="AK14" s="18">
        <f>+AK12/Y12-1</f>
        <v>-0.17051060996636891</v>
      </c>
      <c r="AL14" s="18">
        <f>+AL12/Z12-1</f>
        <v>-0.16101519479981763</v>
      </c>
      <c r="AM14" s="17"/>
      <c r="AN14" s="18">
        <f>+AN12/AB12-1</f>
        <v>-0.11858259982622532</v>
      </c>
      <c r="AO14" s="18">
        <f t="shared" ref="AO14:AS14" si="35">+AO12/AC12-1</f>
        <v>-0.14299706170421189</v>
      </c>
      <c r="AP14" s="18">
        <f t="shared" si="35"/>
        <v>-0.15392678287200612</v>
      </c>
      <c r="AQ14" s="18">
        <f t="shared" si="35"/>
        <v>-0.13909207450418548</v>
      </c>
      <c r="AR14" s="18">
        <f t="shared" si="35"/>
        <v>0.41057583413189258</v>
      </c>
      <c r="AS14" s="18">
        <f t="shared" si="35"/>
        <v>0.39144014857335785</v>
      </c>
      <c r="AT14" s="18">
        <f>+AT12/AH12-1</f>
        <v>0.20595725329695269</v>
      </c>
      <c r="AU14" s="18">
        <f t="shared" ref="AU14" si="36">+AU12/AI12-1</f>
        <v>0.17783253324270332</v>
      </c>
      <c r="AV14" s="17"/>
      <c r="AW14" s="18">
        <f>(+AW12/(AB12+AD12+AF12+AH12))-1</f>
        <v>7.0499495770647513E-2</v>
      </c>
      <c r="AX14" s="18">
        <f>(+AX12/(AC12+AE12+AG12+AI12))-1</f>
        <v>5.7530596131069478E-2</v>
      </c>
      <c r="AY14" s="17"/>
      <c r="AZ14" s="18">
        <f t="shared" ref="AZ14:BA14" si="37">+AZ12/AN12-1</f>
        <v>-8.8419338247899826E-2</v>
      </c>
      <c r="BA14" s="18">
        <f t="shared" si="37"/>
        <v>-6.9756613756613794E-2</v>
      </c>
      <c r="BB14" s="18">
        <f>+BB12/AP12-1</f>
        <v>-7.5846563274295509E-2</v>
      </c>
      <c r="BC14" s="18">
        <f>+BC12/AQ12-1</f>
        <v>-5.4438750930670299E-2</v>
      </c>
      <c r="BD14" s="18">
        <f>+BD12/AR12-1</f>
        <v>-0.4129508399209485</v>
      </c>
      <c r="BE14" s="18">
        <f>+BE12/AS12-1</f>
        <v>-0.40559970879087537</v>
      </c>
      <c r="BF14" s="17"/>
      <c r="BG14" s="18">
        <f>(+BG12/(AN12+AP12+AR12))-1</f>
        <v>-0.2204747774480712</v>
      </c>
      <c r="BH14" s="18">
        <f>(+BH12/(AO12+AQ12+AS12))-1</f>
        <v>-0.20474919419822712</v>
      </c>
      <c r="BI14" s="17"/>
      <c r="BJ14" s="344"/>
      <c r="BK14" s="17"/>
      <c r="BL14" s="17"/>
      <c r="BM14" s="17"/>
      <c r="BN14" s="17"/>
      <c r="BO14" s="17"/>
    </row>
    <row r="15" spans="1:67" ht="14.5">
      <c r="A15" s="28"/>
      <c r="B15" s="2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row>
    <row r="16" spans="1:67" ht="14.5">
      <c r="A16" s="28"/>
      <c r="B16" s="29"/>
      <c r="C16" s="14"/>
      <c r="D16" s="233"/>
      <c r="E16" s="233"/>
      <c r="F16" s="233"/>
      <c r="G16" s="233"/>
      <c r="H16" s="233"/>
      <c r="I16" s="233"/>
      <c r="J16" s="233"/>
      <c r="K16" s="233"/>
      <c r="L16" s="233"/>
      <c r="M16" s="233"/>
      <c r="N16" s="233"/>
      <c r="O16" s="233"/>
      <c r="P16" s="244"/>
      <c r="Q16" s="244"/>
      <c r="R16" s="244"/>
      <c r="S16" s="244"/>
      <c r="T16" s="244"/>
      <c r="U16" s="244"/>
      <c r="V16" s="244"/>
      <c r="W16" s="244"/>
      <c r="X16" s="244"/>
      <c r="Y16" s="244"/>
      <c r="Z16" s="244"/>
      <c r="AA16" s="244"/>
      <c r="AB16" s="244"/>
      <c r="AC16" s="244"/>
      <c r="AD16" s="244"/>
      <c r="AE16" s="244"/>
      <c r="AF16" s="244"/>
      <c r="AG16" s="244"/>
      <c r="AH16" s="244"/>
      <c r="AI16" s="244"/>
      <c r="AJ16" s="244"/>
      <c r="AK16" s="244"/>
      <c r="AL16" s="244"/>
      <c r="AM16" s="244"/>
      <c r="AN16" s="244"/>
      <c r="AO16" s="244"/>
      <c r="AP16" s="244"/>
      <c r="AQ16" s="244"/>
      <c r="AR16" s="244"/>
      <c r="AS16" s="244"/>
      <c r="AT16" s="14"/>
      <c r="AU16" s="14"/>
      <c r="AV16" s="14"/>
      <c r="AW16" s="244"/>
      <c r="AX16" s="244"/>
      <c r="AY16" s="244"/>
      <c r="AZ16" s="244"/>
      <c r="BA16" s="244"/>
      <c r="BB16" s="244"/>
      <c r="BC16" s="244"/>
      <c r="BD16" s="244"/>
      <c r="BE16" s="244"/>
      <c r="BF16" s="14"/>
      <c r="BG16" s="244"/>
      <c r="BH16" s="244"/>
      <c r="BI16" s="14"/>
      <c r="BJ16" s="14"/>
      <c r="BK16" s="14"/>
      <c r="BL16" s="14"/>
      <c r="BM16" s="14"/>
      <c r="BN16" s="14"/>
      <c r="BO16" s="14"/>
    </row>
    <row r="17" spans="2:60">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7"/>
      <c r="AP17" s="247"/>
      <c r="AQ17" s="247"/>
      <c r="AR17" s="247"/>
      <c r="AS17" s="247"/>
      <c r="AW17" s="247"/>
      <c r="AX17" s="247"/>
      <c r="AY17" s="247"/>
      <c r="AZ17" s="247"/>
      <c r="BA17" s="247"/>
      <c r="BB17" s="247"/>
      <c r="BC17" s="247"/>
      <c r="BD17" s="247"/>
      <c r="BE17" s="247"/>
      <c r="BG17" s="247"/>
      <c r="BH17" s="247"/>
    </row>
    <row r="18" spans="2:60" ht="16.75">
      <c r="B18" s="35"/>
    </row>
    <row r="19" spans="2:60" ht="16.75">
      <c r="B19" s="35"/>
    </row>
    <row r="20" spans="2:60">
      <c r="D20" s="36"/>
      <c r="E20" s="36"/>
      <c r="F20" s="36"/>
      <c r="G20" s="36"/>
      <c r="H20" s="36"/>
      <c r="I20" s="36"/>
      <c r="J20" s="36"/>
      <c r="K20" s="36"/>
      <c r="L20" s="36"/>
      <c r="M20" s="36"/>
      <c r="N20" s="36"/>
      <c r="P20" s="36"/>
      <c r="Q20" s="36"/>
      <c r="R20" s="36"/>
      <c r="S20" s="36"/>
      <c r="T20" s="36"/>
      <c r="U20" s="36"/>
      <c r="V20" s="36"/>
      <c r="W20" s="36"/>
      <c r="Y20" s="36"/>
      <c r="Z20" s="36"/>
    </row>
  </sheetData>
  <mergeCells count="42">
    <mergeCell ref="BG3:BH3"/>
    <mergeCell ref="BG4:BH4"/>
    <mergeCell ref="AW3:AX3"/>
    <mergeCell ref="AW4:AX4"/>
    <mergeCell ref="Y3:Z3"/>
    <mergeCell ref="AB3:AI3"/>
    <mergeCell ref="AP4:AQ4"/>
    <mergeCell ref="AZ4:BA4"/>
    <mergeCell ref="AK3:AL3"/>
    <mergeCell ref="AR4:AS4"/>
    <mergeCell ref="AT4:AU4"/>
    <mergeCell ref="AN3:AU3"/>
    <mergeCell ref="AD4:AE4"/>
    <mergeCell ref="BB4:BC4"/>
    <mergeCell ref="BD4:BE4"/>
    <mergeCell ref="AZ3:BE3"/>
    <mergeCell ref="P4:Q4"/>
    <mergeCell ref="A3:B3"/>
    <mergeCell ref="D3:K3"/>
    <mergeCell ref="M3:N3"/>
    <mergeCell ref="P3:W3"/>
    <mergeCell ref="A4:B4"/>
    <mergeCell ref="D4:E4"/>
    <mergeCell ref="F4:G4"/>
    <mergeCell ref="H4:I4"/>
    <mergeCell ref="J4:K4"/>
    <mergeCell ref="A12:A14"/>
    <mergeCell ref="BJ6:BJ10"/>
    <mergeCell ref="BJ12:BJ14"/>
    <mergeCell ref="AF4:AG4"/>
    <mergeCell ref="AH4:AI4"/>
    <mergeCell ref="AK4:AL4"/>
    <mergeCell ref="AN4:AO4"/>
    <mergeCell ref="A5:B5"/>
    <mergeCell ref="A6:A10"/>
    <mergeCell ref="R4:S4"/>
    <mergeCell ref="T4:U4"/>
    <mergeCell ref="V4:W4"/>
    <mergeCell ref="Y4:Z4"/>
    <mergeCell ref="AB4:AC4"/>
    <mergeCell ref="BJ3:BJ5"/>
    <mergeCell ref="M4:N4"/>
  </mergeCells>
  <pageMargins left="0.25" right="0.25" top="0.75" bottom="0.75" header="0.3" footer="0.3"/>
  <pageSetup scale="3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AA676-DBF9-4B52-B47B-367B98B98C66}">
  <sheetPr codeName="Sheet6">
    <tabColor rgb="FF0079FF"/>
    <pageSetUpPr fitToPage="1"/>
  </sheetPr>
  <dimension ref="A1:AH28"/>
  <sheetViews>
    <sheetView zoomScale="65" zoomScaleNormal="65" zoomScaleSheetLayoutView="85" workbookViewId="0">
      <pane xSplit="1" ySplit="4" topLeftCell="G5" activePane="bottomRight" state="frozen"/>
      <selection pane="topRight" activeCell="B1" sqref="B1"/>
      <selection pane="bottomLeft" activeCell="A5" sqref="A5"/>
      <selection pane="bottomRight" activeCell="G5" sqref="G5"/>
    </sheetView>
  </sheetViews>
  <sheetFormatPr defaultColWidth="9.1328125" defaultRowHeight="10.5" outlineLevelCol="1"/>
  <cols>
    <col min="1" max="1" width="88.40625" style="61" customWidth="1"/>
    <col min="2" max="5" width="28.40625" style="61" hidden="1" customWidth="1" outlineLevel="1"/>
    <col min="6" max="6" width="2.1328125" style="145" hidden="1" customWidth="1" outlineLevel="1"/>
    <col min="7" max="7" width="28.40625" style="61" customWidth="1" collapsed="1"/>
    <col min="8" max="8" width="1.40625" style="61" customWidth="1"/>
    <col min="9" max="12" width="26.86328125" style="61" hidden="1" customWidth="1" outlineLevel="1"/>
    <col min="13" max="13" width="2" style="145" hidden="1" customWidth="1" outlineLevel="1"/>
    <col min="14" max="14" width="26.86328125" style="61" customWidth="1" collapsed="1"/>
    <col min="15" max="15" width="1.40625" style="61" customWidth="1"/>
    <col min="16" max="19" width="16.86328125" style="61" hidden="1" customWidth="1" outlineLevel="1"/>
    <col min="20" max="20" width="1.40625" style="37" hidden="1" customWidth="1" outlineLevel="1"/>
    <col min="21" max="21" width="22.40625" style="61" customWidth="1" collapsed="1"/>
    <col min="22" max="22" width="1.86328125" style="37" customWidth="1"/>
    <col min="23" max="26" width="18.40625" style="61" customWidth="1"/>
    <col min="27" max="27" width="3.40625" style="37" customWidth="1"/>
    <col min="28" max="28" width="22.40625" style="61" customWidth="1"/>
    <col min="29" max="29" width="1.86328125" style="37" customWidth="1"/>
    <col min="30" max="32" width="18.40625" style="61" customWidth="1"/>
    <col min="33" max="33" width="2.40625" style="37" customWidth="1"/>
    <col min="34" max="34" width="22.40625" style="61" customWidth="1"/>
    <col min="35" max="16384" width="9.1328125" style="37"/>
  </cols>
  <sheetData>
    <row r="1" spans="1:34" ht="18">
      <c r="A1" s="5" t="s">
        <v>5</v>
      </c>
    </row>
    <row r="2" spans="1:34" ht="10.75">
      <c r="A2" s="62"/>
    </row>
    <row r="3" spans="1:34" s="7" customFormat="1" ht="30" customHeight="1">
      <c r="A3" s="41"/>
      <c r="B3" s="355" t="s">
        <v>21</v>
      </c>
      <c r="C3" s="355"/>
      <c r="D3" s="355"/>
      <c r="E3" s="355"/>
      <c r="F3" s="138"/>
      <c r="G3" s="40" t="s">
        <v>22</v>
      </c>
      <c r="H3" s="63"/>
      <c r="I3" s="355" t="s">
        <v>21</v>
      </c>
      <c r="J3" s="355"/>
      <c r="K3" s="355"/>
      <c r="L3" s="355"/>
      <c r="M3" s="138"/>
      <c r="N3" s="40" t="s">
        <v>22</v>
      </c>
      <c r="O3" s="63"/>
      <c r="P3" s="355" t="s">
        <v>21</v>
      </c>
      <c r="Q3" s="355"/>
      <c r="R3" s="355"/>
      <c r="S3" s="355"/>
      <c r="U3" s="40" t="s">
        <v>22</v>
      </c>
      <c r="W3" s="355" t="s">
        <v>21</v>
      </c>
      <c r="X3" s="355"/>
      <c r="Y3" s="355"/>
      <c r="Z3" s="355"/>
      <c r="AB3" s="40" t="s">
        <v>22</v>
      </c>
      <c r="AD3" s="355" t="s">
        <v>21</v>
      </c>
      <c r="AE3" s="355"/>
      <c r="AF3" s="355"/>
      <c r="AH3" s="40" t="s">
        <v>320</v>
      </c>
    </row>
    <row r="4" spans="1:34" s="7" customFormat="1" ht="24" customHeight="1">
      <c r="A4" s="41" t="s">
        <v>24</v>
      </c>
      <c r="B4" s="42" t="s">
        <v>80</v>
      </c>
      <c r="C4" s="42" t="s">
        <v>81</v>
      </c>
      <c r="D4" s="42" t="s">
        <v>82</v>
      </c>
      <c r="E4" s="42" t="s">
        <v>83</v>
      </c>
      <c r="F4" s="139"/>
      <c r="G4" s="42" t="s">
        <v>83</v>
      </c>
      <c r="H4" s="63"/>
      <c r="I4" s="42" t="s">
        <v>84</v>
      </c>
      <c r="J4" s="42" t="s">
        <v>85</v>
      </c>
      <c r="K4" s="42" t="s">
        <v>86</v>
      </c>
      <c r="L4" s="42" t="s">
        <v>87</v>
      </c>
      <c r="M4" s="139"/>
      <c r="N4" s="42" t="s">
        <v>87</v>
      </c>
      <c r="O4" s="63"/>
      <c r="P4" s="42" t="s">
        <v>88</v>
      </c>
      <c r="Q4" s="42" t="s">
        <v>89</v>
      </c>
      <c r="R4" s="42" t="s">
        <v>90</v>
      </c>
      <c r="S4" s="42" t="s">
        <v>91</v>
      </c>
      <c r="U4" s="42" t="s">
        <v>91</v>
      </c>
      <c r="W4" s="42" t="s">
        <v>23</v>
      </c>
      <c r="X4" s="42" t="s">
        <v>92</v>
      </c>
      <c r="Y4" s="42" t="s">
        <v>93</v>
      </c>
      <c r="Z4" s="42" t="s">
        <v>94</v>
      </c>
      <c r="AB4" s="42" t="s">
        <v>94</v>
      </c>
      <c r="AD4" s="42" t="s">
        <v>95</v>
      </c>
      <c r="AE4" s="42" t="s">
        <v>309</v>
      </c>
      <c r="AF4" s="42" t="s">
        <v>319</v>
      </c>
      <c r="AH4" s="42" t="s">
        <v>319</v>
      </c>
    </row>
    <row r="5" spans="1:34">
      <c r="A5" s="37"/>
    </row>
    <row r="6" spans="1:34" ht="16.75">
      <c r="A6" s="64" t="s">
        <v>30</v>
      </c>
    </row>
    <row r="7" spans="1:34" s="51" customFormat="1" ht="16.75">
      <c r="A7" s="51" t="s">
        <v>96</v>
      </c>
      <c r="B7" s="65">
        <f>207.095</f>
        <v>207.095</v>
      </c>
      <c r="C7" s="65">
        <v>211.43600000000001</v>
      </c>
      <c r="D7" s="65">
        <v>217.93600000000001</v>
      </c>
      <c r="E7" s="65">
        <v>210.05799999999999</v>
      </c>
      <c r="F7" s="146"/>
      <c r="G7" s="65">
        <f>+B7+C7+D7+E7</f>
        <v>846.52499999999998</v>
      </c>
      <c r="H7" s="66"/>
      <c r="I7" s="65">
        <f>'Revenue Metrics Reconciliation'!C13</f>
        <v>185.86500000000001</v>
      </c>
      <c r="J7" s="65">
        <f>'Revenue Metrics Reconciliation'!D13</f>
        <v>204.07999999999998</v>
      </c>
      <c r="K7" s="65">
        <f>'Revenue Metrics Reconciliation'!E13</f>
        <v>215.22200000000001</v>
      </c>
      <c r="L7" s="65">
        <f>'Revenue Metrics Reconciliation'!F13</f>
        <v>225.08000000000004</v>
      </c>
      <c r="M7" s="146"/>
      <c r="N7" s="65">
        <f>+I7+J7+K7+L7</f>
        <v>830.24700000000007</v>
      </c>
      <c r="O7" s="66"/>
      <c r="P7" s="65">
        <f>'Revenue Metrics Reconciliation'!J13</f>
        <v>200.904</v>
      </c>
      <c r="Q7" s="65">
        <f>'Revenue Metrics Reconciliation'!K13</f>
        <v>214.61699999999999</v>
      </c>
      <c r="R7" s="65">
        <f>'Revenue Metrics Reconciliation'!L13</f>
        <v>224.82</v>
      </c>
      <c r="S7" s="65">
        <f>'Revenue Metrics Reconciliation'!M13</f>
        <v>234.16800000000001</v>
      </c>
      <c r="U7" s="65">
        <f>P7+Q7+R7+S7</f>
        <v>874.5089999999999</v>
      </c>
      <c r="W7" s="65">
        <f>'Revenue Metrics Reconciliation'!Q13</f>
        <v>217.90600000000001</v>
      </c>
      <c r="X7" s="65">
        <f>'Revenue Metrics Reconciliation'!R13</f>
        <v>222.899</v>
      </c>
      <c r="Y7" s="65">
        <f>'Revenue Metrics Reconciliation'!S13</f>
        <v>225.19300000000001</v>
      </c>
      <c r="Z7" s="65">
        <f>'Revenue Metrics Reconciliation'!T13</f>
        <v>236.24699999999999</v>
      </c>
      <c r="AB7" s="65">
        <f>W7+X7+Y7+Z7</f>
        <v>902.245</v>
      </c>
      <c r="AD7" s="65">
        <f>'Revenue Metrics Reconciliation'!X13</f>
        <v>216.56600000000003</v>
      </c>
      <c r="AE7" s="65">
        <f>'Revenue Metrics Reconciliation'!Y13</f>
        <v>210.16499999999999</v>
      </c>
      <c r="AF7" s="65">
        <f>'Revenue Metrics Reconciliation'!Z13</f>
        <v>218.54700000000003</v>
      </c>
      <c r="AH7" s="65">
        <f>AD7+AE7+AF7</f>
        <v>645.27800000000002</v>
      </c>
    </row>
    <row r="8" spans="1:34" s="51" customFormat="1" ht="16.75">
      <c r="A8" s="51" t="s">
        <v>97</v>
      </c>
      <c r="B8" s="65">
        <f>+'Revenue Metrics Reconciliation'!C13</f>
        <v>185.86500000000001</v>
      </c>
      <c r="C8" s="65">
        <f>+'Revenue Metrics Reconciliation'!D13</f>
        <v>204.07999999999998</v>
      </c>
      <c r="D8" s="65">
        <f>+'Revenue Metrics Reconciliation'!E13</f>
        <v>215.22200000000001</v>
      </c>
      <c r="E8" s="65">
        <f>+'Revenue Metrics Reconciliation'!F13</f>
        <v>225.08000000000004</v>
      </c>
      <c r="F8" s="146"/>
      <c r="G8" s="65">
        <f>+B8+C8+D8+E8</f>
        <v>830.24700000000007</v>
      </c>
      <c r="H8" s="66"/>
      <c r="I8" s="65">
        <f>+'Revenue Metrics Reconciliation'!J13</f>
        <v>200.904</v>
      </c>
      <c r="J8" s="65">
        <f>+'Revenue Metrics Reconciliation'!K13</f>
        <v>214.61699999999999</v>
      </c>
      <c r="K8" s="65">
        <f>+'Revenue Metrics Reconciliation'!L13</f>
        <v>224.82</v>
      </c>
      <c r="L8" s="65">
        <f>+'Revenue Metrics Reconciliation'!M13</f>
        <v>234.16800000000001</v>
      </c>
      <c r="M8" s="146"/>
      <c r="N8" s="65">
        <f>+I8+J8+K8+L8</f>
        <v>874.5089999999999</v>
      </c>
      <c r="O8" s="66"/>
      <c r="P8" s="65">
        <f>+'Revenue Metrics Reconciliation'!Q13</f>
        <v>217.90600000000001</v>
      </c>
      <c r="Q8" s="65">
        <f>+'Revenue Metrics Reconciliation'!R13</f>
        <v>222.899</v>
      </c>
      <c r="R8" s="65">
        <f>+'Revenue Metrics Reconciliation'!S13</f>
        <v>225.19300000000001</v>
      </c>
      <c r="S8" s="65">
        <f>+'Revenue Metrics Reconciliation'!T13</f>
        <v>236.24699999999999</v>
      </c>
      <c r="U8" s="65">
        <f>P8+Q8+R8+S8</f>
        <v>902.245</v>
      </c>
      <c r="W8" s="65">
        <f>+'Revenue Metrics Reconciliation'!X13</f>
        <v>216.56600000000003</v>
      </c>
      <c r="X8" s="65">
        <f>+'Revenue Metrics Reconciliation'!Y13</f>
        <v>210.16499999999999</v>
      </c>
      <c r="Y8" s="65">
        <f>+'Revenue Metrics Reconciliation'!Z13</f>
        <v>218.54700000000003</v>
      </c>
      <c r="Z8" s="65">
        <f>+'Revenue Metrics Reconciliation'!AA13</f>
        <v>265.10899999999998</v>
      </c>
      <c r="AB8" s="65">
        <f>W8+X8+Y8+Z8</f>
        <v>910.38699999999994</v>
      </c>
      <c r="AD8" s="65">
        <f>'Recurring Summary'!AZ6+'Nonrecurring Summary'!AZ6</f>
        <v>221.27700000000002</v>
      </c>
      <c r="AE8" s="65">
        <f>'Recurring Summary'!BB6+'Nonrecurring Summary'!BB6</f>
        <v>210.17000000000002</v>
      </c>
      <c r="AF8" s="65">
        <f>'Recurring Summary'!BD6+'Nonrecurring Summary'!BD6</f>
        <v>224.19299999999998</v>
      </c>
      <c r="AH8" s="65">
        <f>AD8+AE8+AF8</f>
        <v>655.64</v>
      </c>
    </row>
    <row r="9" spans="1:34" s="51" customFormat="1" ht="16.75">
      <c r="A9" s="51" t="s">
        <v>98</v>
      </c>
      <c r="B9" s="65">
        <v>188</v>
      </c>
      <c r="C9" s="65">
        <v>205</v>
      </c>
      <c r="D9" s="65">
        <v>213</v>
      </c>
      <c r="E9" s="65">
        <v>223</v>
      </c>
      <c r="F9" s="146"/>
      <c r="G9" s="65">
        <f>+B9+C9+D9+E9</f>
        <v>829</v>
      </c>
      <c r="H9" s="66"/>
      <c r="I9" s="65">
        <v>196</v>
      </c>
      <c r="J9" s="65">
        <v>210</v>
      </c>
      <c r="K9" s="65">
        <v>223</v>
      </c>
      <c r="L9" s="65">
        <v>235</v>
      </c>
      <c r="M9" s="146"/>
      <c r="N9" s="65">
        <v>865</v>
      </c>
      <c r="O9" s="66"/>
      <c r="P9" s="65">
        <v>220</v>
      </c>
      <c r="Q9" s="65">
        <v>229</v>
      </c>
      <c r="R9" s="65">
        <v>232</v>
      </c>
      <c r="S9" s="65">
        <v>241</v>
      </c>
      <c r="U9" s="65">
        <v>921</v>
      </c>
      <c r="W9" s="65">
        <v>220</v>
      </c>
      <c r="X9" s="65">
        <v>210</v>
      </c>
      <c r="Y9" s="65">
        <v>217</v>
      </c>
      <c r="Z9" s="65">
        <v>264</v>
      </c>
      <c r="AB9" s="65">
        <v>910</v>
      </c>
      <c r="AD9" s="65">
        <v>221</v>
      </c>
      <c r="AE9" s="65">
        <v>210</v>
      </c>
      <c r="AF9" s="65">
        <v>223</v>
      </c>
      <c r="AH9" s="65">
        <v>654</v>
      </c>
    </row>
    <row r="10" spans="1:34" s="51" customFormat="1" ht="16.75">
      <c r="A10" s="51" t="s">
        <v>99</v>
      </c>
      <c r="B10" s="67">
        <f>+((B8-B7)/B7)</f>
        <v>-0.10251333928873217</v>
      </c>
      <c r="C10" s="67">
        <f>+((C8-C7)/C7)</f>
        <v>-3.4790669517017078E-2</v>
      </c>
      <c r="D10" s="67">
        <f>+((D8-D7)/D7)</f>
        <v>-1.245319726892298E-2</v>
      </c>
      <c r="E10" s="67">
        <f>+((E8-E7)/E7)</f>
        <v>7.1513581963077097E-2</v>
      </c>
      <c r="F10" s="147"/>
      <c r="G10" s="67">
        <f>+((G8-G7)/G7)</f>
        <v>-1.922920173651092E-2</v>
      </c>
      <c r="H10" s="66"/>
      <c r="I10" s="67">
        <f>+(I8-I7)/I7</f>
        <v>8.0913566298119535E-2</v>
      </c>
      <c r="J10" s="67">
        <f>+(J8-J7)/J7</f>
        <v>5.1631713053704467E-2</v>
      </c>
      <c r="K10" s="67">
        <f>+(K8-K7)/K7</f>
        <v>4.4595812695728057E-2</v>
      </c>
      <c r="L10" s="67">
        <f>+(L8-L7)/L7</f>
        <v>4.0376754931579724E-2</v>
      </c>
      <c r="M10" s="147"/>
      <c r="N10" s="67">
        <f>+((N8-N7)/N7)</f>
        <v>5.3311845751926629E-2</v>
      </c>
      <c r="O10" s="66"/>
      <c r="P10" s="67">
        <f>+(P8-P7)/P7</f>
        <v>8.4627483773344531E-2</v>
      </c>
      <c r="Q10" s="67">
        <f>+(Q8-Q7)/Q7</f>
        <v>3.8589673697796589E-2</v>
      </c>
      <c r="R10" s="67">
        <f>+(R8-R7)/R7</f>
        <v>1.6591050618273236E-3</v>
      </c>
      <c r="S10" s="67">
        <f>+(S8-S7)/S7</f>
        <v>8.8782412626831134E-3</v>
      </c>
      <c r="U10" s="67">
        <f>+(U8-U7)/U7</f>
        <v>3.1716082967699712E-2</v>
      </c>
      <c r="W10" s="67">
        <f>+(W8-W7)/W7</f>
        <v>-6.1494405844720887E-3</v>
      </c>
      <c r="X10" s="67">
        <f>+(X8-X7)/X7</f>
        <v>-5.7129013589114389E-2</v>
      </c>
      <c r="Y10" s="67">
        <f>+(Y8-Y7)/Y7</f>
        <v>-2.9512462643154921E-2</v>
      </c>
      <c r="Z10" s="67">
        <f>+(Z8-Z7)/Z7</f>
        <v>0.12216874711636548</v>
      </c>
      <c r="AB10" s="67">
        <f>+(AB8-AB7)/AB7</f>
        <v>9.0241564098442646E-3</v>
      </c>
      <c r="AD10" s="67">
        <f>+(AD8-AD7)/AD7</f>
        <v>2.1753183786928622E-2</v>
      </c>
      <c r="AE10" s="67">
        <f>+(AE8-AE7)/AE7</f>
        <v>2.3790831013840909E-5</v>
      </c>
      <c r="AF10" s="67">
        <f>+(AF8-AF7)/AF7</f>
        <v>2.5834259907479663E-2</v>
      </c>
      <c r="AH10" s="67">
        <f>+(AH8-AH7)/AH7</f>
        <v>1.6058195072511331E-2</v>
      </c>
    </row>
    <row r="11" spans="1:34" s="51" customFormat="1" ht="16.75">
      <c r="A11" s="51" t="s">
        <v>100</v>
      </c>
      <c r="B11" s="68">
        <f>(+B12-B10)+0.001</f>
        <v>1.1309278350515414E-2</v>
      </c>
      <c r="C11" s="68">
        <f>(+C12-C10)+0.001</f>
        <v>5.3511984714051343E-3</v>
      </c>
      <c r="D11" s="68">
        <f>(+D12-D10)-0.001</f>
        <v>-1.1195653769914143E-2</v>
      </c>
      <c r="E11" s="68">
        <f>(+E12-E10)</f>
        <v>-9.9020270591933732E-3</v>
      </c>
      <c r="F11" s="147"/>
      <c r="G11" s="68">
        <f>(+G12-G10)-0.001</f>
        <v>-2.4730811257790029E-3</v>
      </c>
      <c r="H11" s="66"/>
      <c r="I11" s="68">
        <f>+I12-I10</f>
        <v>-2.638474161353669E-2</v>
      </c>
      <c r="J11" s="68">
        <f>+J12-J10</f>
        <v>-2.262348098784786E-2</v>
      </c>
      <c r="K11" s="68">
        <f>+K12-K10-0.001</f>
        <v>-9.4563845703505844E-3</v>
      </c>
      <c r="L11" s="68">
        <f>+L12-L10</f>
        <v>3.6964634796516488E-3</v>
      </c>
      <c r="M11" s="147"/>
      <c r="N11" s="68">
        <f>(+N12-N10)+0.001</f>
        <v>-1.0453218138698366E-2</v>
      </c>
      <c r="O11" s="66"/>
      <c r="P11" s="68">
        <f>+P12-P10</f>
        <v>1.042288854378208E-2</v>
      </c>
      <c r="Q11" s="68">
        <f>+Q12-Q10</f>
        <v>2.8427384596746763E-2</v>
      </c>
      <c r="R11" s="68">
        <f>+R12-R10</f>
        <v>3.0277555377635393E-2</v>
      </c>
      <c r="S11" s="68">
        <f>+S12-S10</f>
        <v>2.0297393324450883E-2</v>
      </c>
      <c r="U11" s="68">
        <f>+U12-U10</f>
        <v>2.1446320163657544E-2</v>
      </c>
      <c r="W11" s="68">
        <f>+W12-W10</f>
        <v>1.5759088781401011E-2</v>
      </c>
      <c r="X11" s="68">
        <f>+X12-X10</f>
        <v>-7.40245582079746E-4</v>
      </c>
      <c r="Y11" s="68">
        <f>+Y12-Y10+0.001</f>
        <v>-5.8696629113694715E-3</v>
      </c>
      <c r="Z11" s="68">
        <f>+Z12-Z10</f>
        <v>-4.6942395035703272E-3</v>
      </c>
      <c r="AB11" s="68">
        <f>+AB12-AB10</f>
        <v>-4.2893005780020137E-4</v>
      </c>
      <c r="AD11" s="68">
        <f>-0.002</f>
        <v>-2E-3</v>
      </c>
      <c r="AE11" s="68">
        <f>+AE12-AE10</f>
        <v>-8.088882544668043E-4</v>
      </c>
      <c r="AF11" s="68">
        <f>+AF12-AF10-0.001</f>
        <v>-6.4587800335853774E-3</v>
      </c>
      <c r="AH11" s="68">
        <f>+AH12-AH10+0.001</f>
        <v>-1.5415402353714013E-3</v>
      </c>
    </row>
    <row r="12" spans="1:34" s="51" customFormat="1" ht="16.75">
      <c r="A12" s="51" t="s">
        <v>101</v>
      </c>
      <c r="B12" s="69">
        <f>+(B9-B7)/B7</f>
        <v>-9.2204060938216759E-2</v>
      </c>
      <c r="C12" s="69">
        <f>+(C9-C7)/C7</f>
        <v>-3.0439471045611944E-2</v>
      </c>
      <c r="D12" s="69">
        <f>+(D9-D7)/D7</f>
        <v>-2.2648851038837122E-2</v>
      </c>
      <c r="E12" s="69">
        <f>+(E9-E7)/E7</f>
        <v>6.1611554903883724E-2</v>
      </c>
      <c r="F12" s="148"/>
      <c r="G12" s="69">
        <f>+(G9-G7)/G7</f>
        <v>-2.0702282862289922E-2</v>
      </c>
      <c r="H12" s="66"/>
      <c r="I12" s="69">
        <f>+(I9-I7)/I7</f>
        <v>5.4528824684582845E-2</v>
      </c>
      <c r="J12" s="69">
        <f>+(J9-J7)/J7</f>
        <v>2.9008232065856607E-2</v>
      </c>
      <c r="K12" s="69">
        <f>+(K9-K7)/K7</f>
        <v>3.6139428125377474E-2</v>
      </c>
      <c r="L12" s="69">
        <f>+(L9-L7)/L7</f>
        <v>4.4073218411231373E-2</v>
      </c>
      <c r="M12" s="148"/>
      <c r="N12" s="69">
        <f>+(N9-N7)/N7</f>
        <v>4.1858627613228262E-2</v>
      </c>
      <c r="O12" s="66"/>
      <c r="P12" s="69">
        <f>+(P9-P7)/P7</f>
        <v>9.5050372317126611E-2</v>
      </c>
      <c r="Q12" s="69">
        <f>+(Q9-Q7)/Q7</f>
        <v>6.7017058294543352E-2</v>
      </c>
      <c r="R12" s="69">
        <f>+(R9-R7)/R7</f>
        <v>3.1936660439462715E-2</v>
      </c>
      <c r="S12" s="69">
        <f>+(S9-S7)/S7</f>
        <v>2.9175634587133997E-2</v>
      </c>
      <c r="U12" s="69">
        <f>+(U9-U7)/U7</f>
        <v>5.3162403131357255E-2</v>
      </c>
      <c r="W12" s="69">
        <f>+(W9-W7)/W7</f>
        <v>9.609648196928923E-3</v>
      </c>
      <c r="X12" s="69">
        <f>+(X9-X7)/X7</f>
        <v>-5.7869259171194135E-2</v>
      </c>
      <c r="Y12" s="69">
        <f>+(Y9-Y7)/Y7</f>
        <v>-3.6382125554524393E-2</v>
      </c>
      <c r="Z12" s="69">
        <f>+(Z9-Z7)/Z7</f>
        <v>0.11747450761279515</v>
      </c>
      <c r="AB12" s="69">
        <f>+(AB9-AB7)/AB7</f>
        <v>8.5952263520440633E-3</v>
      </c>
      <c r="AD12" s="69">
        <f>+(AD9-AD7)/AD7</f>
        <v>2.047412797946108E-2</v>
      </c>
      <c r="AE12" s="69">
        <f>+(AE9-AE7)/AE7</f>
        <v>-7.8509742345296335E-4</v>
      </c>
      <c r="AF12" s="69">
        <f>+(AF9-AF7)/AF7</f>
        <v>2.0375479873894285E-2</v>
      </c>
      <c r="AH12" s="69">
        <f>+(AH9-AH7)/AH7</f>
        <v>1.351665483713993E-2</v>
      </c>
    </row>
    <row r="13" spans="1:34">
      <c r="A13" s="37"/>
    </row>
    <row r="14" spans="1:34" ht="16.75">
      <c r="A14" s="64" t="s">
        <v>31</v>
      </c>
    </row>
    <row r="15" spans="1:34" s="51" customFormat="1" ht="16.75">
      <c r="A15" s="51" t="s">
        <v>96</v>
      </c>
      <c r="B15" s="65">
        <f>215.867</f>
        <v>215.86699999999999</v>
      </c>
      <c r="C15" s="65">
        <v>218.42400000000001</v>
      </c>
      <c r="D15" s="65">
        <v>224.149</v>
      </c>
      <c r="E15" s="65">
        <v>214.76</v>
      </c>
      <c r="F15" s="146"/>
      <c r="G15" s="65">
        <f>+B15+C15+D15+E15</f>
        <v>873.2</v>
      </c>
      <c r="H15" s="66"/>
      <c r="I15" s="65">
        <f>'Revenue Metrics Reconciliation'!C31</f>
        <v>189.12700000000001</v>
      </c>
      <c r="J15" s="65">
        <f>'Revenue Metrics Reconciliation'!D31</f>
        <v>207.14600000000002</v>
      </c>
      <c r="K15" s="65">
        <f>'Revenue Metrics Reconciliation'!E31</f>
        <v>217.44900000000001</v>
      </c>
      <c r="L15" s="65">
        <f>'Revenue Metrics Reconciliation'!F31</f>
        <v>226.86099999999999</v>
      </c>
      <c r="M15" s="146"/>
      <c r="N15" s="65">
        <f>+I15+J15+K15+L15</f>
        <v>840.58299999999997</v>
      </c>
      <c r="O15" s="66"/>
      <c r="P15" s="65">
        <f>'Revenue Metrics Reconciliation'!J31</f>
        <v>201.94300000000001</v>
      </c>
      <c r="Q15" s="65">
        <f>'Revenue Metrics Reconciliation'!K31</f>
        <v>215.63</v>
      </c>
      <c r="R15" s="65">
        <f>'Revenue Metrics Reconciliation'!L31</f>
        <v>226.928</v>
      </c>
      <c r="S15" s="65">
        <f>'Revenue Metrics Reconciliation'!M31</f>
        <v>236.179</v>
      </c>
      <c r="U15" s="65">
        <f>P15+Q15+R15+S15</f>
        <v>880.68</v>
      </c>
      <c r="W15" s="65">
        <f>'Revenue Metrics Reconciliation'!Q31</f>
        <v>219.24900000000002</v>
      </c>
      <c r="X15" s="65">
        <f>'Revenue Metrics Reconciliation'!R31</f>
        <v>223.63100000000003</v>
      </c>
      <c r="Y15" s="65">
        <f>'Revenue Metrics Reconciliation'!S31</f>
        <v>225.61599999999999</v>
      </c>
      <c r="Z15" s="65">
        <f>'Revenue Metrics Reconciliation'!T31</f>
        <v>236.751</v>
      </c>
      <c r="AB15" s="65">
        <f>W15+X15+Y15+Z15</f>
        <v>905.24700000000007</v>
      </c>
      <c r="AD15" s="65">
        <f>'Revenue Metrics Reconciliation'!X31</f>
        <v>217.19299999999998</v>
      </c>
      <c r="AE15" s="65">
        <f>'Revenue Metrics Reconciliation'!Y31</f>
        <v>210.40699999999998</v>
      </c>
      <c r="AF15" s="65">
        <f>'Revenue Metrics Reconciliation'!Z31</f>
        <v>218.66699999999997</v>
      </c>
      <c r="AH15" s="65">
        <f>AD15+AE15+AF15</f>
        <v>646.26699999999994</v>
      </c>
    </row>
    <row r="16" spans="1:34" s="51" customFormat="1" ht="16.75">
      <c r="A16" s="51" t="s">
        <v>97</v>
      </c>
      <c r="B16" s="65">
        <f>+'Revenue Metrics Reconciliation'!C31</f>
        <v>189.12700000000001</v>
      </c>
      <c r="C16" s="65">
        <f>+'Revenue Metrics Reconciliation'!D31</f>
        <v>207.14600000000002</v>
      </c>
      <c r="D16" s="65">
        <f>+'Revenue Metrics Reconciliation'!E31</f>
        <v>217.44900000000001</v>
      </c>
      <c r="E16" s="65">
        <f>+'Revenue Metrics Reconciliation'!F31</f>
        <v>226.86099999999999</v>
      </c>
      <c r="F16" s="146"/>
      <c r="G16" s="65">
        <f>+B16+C16+D16+E16</f>
        <v>840.58299999999997</v>
      </c>
      <c r="H16" s="66"/>
      <c r="I16" s="65">
        <f>+'Revenue Metrics Reconciliation'!J31</f>
        <v>201.94300000000001</v>
      </c>
      <c r="J16" s="65">
        <f>+'Revenue Metrics Reconciliation'!K31</f>
        <v>215.63</v>
      </c>
      <c r="K16" s="65">
        <f>+'Revenue Metrics Reconciliation'!L31</f>
        <v>226.928</v>
      </c>
      <c r="L16" s="65">
        <f>+'Revenue Metrics Reconciliation'!M31</f>
        <v>236.179</v>
      </c>
      <c r="M16" s="146"/>
      <c r="N16" s="65">
        <f>+I16+J16+K16+L16</f>
        <v>880.68</v>
      </c>
      <c r="O16" s="66"/>
      <c r="P16" s="65">
        <f>+'Revenue Metrics Reconciliation'!Q31</f>
        <v>219.24900000000002</v>
      </c>
      <c r="Q16" s="65">
        <f>+'Revenue Metrics Reconciliation'!R31</f>
        <v>223.63100000000003</v>
      </c>
      <c r="R16" s="65">
        <f>+'Revenue Metrics Reconciliation'!S31</f>
        <v>225.61599999999999</v>
      </c>
      <c r="S16" s="65">
        <f>+'Revenue Metrics Reconciliation'!T31</f>
        <v>236.751</v>
      </c>
      <c r="U16" s="65">
        <f>P16+Q16+R16+S16</f>
        <v>905.24700000000007</v>
      </c>
      <c r="W16" s="65">
        <f>+'Revenue Metrics Reconciliation'!X31</f>
        <v>217.19299999999998</v>
      </c>
      <c r="X16" s="65">
        <f>+'Revenue Metrics Reconciliation'!Y31</f>
        <v>210.40699999999998</v>
      </c>
      <c r="Y16" s="65">
        <f>+'Revenue Metrics Reconciliation'!Z31</f>
        <v>218.66699999999997</v>
      </c>
      <c r="Z16" s="65">
        <f>+'Revenue Metrics Reconciliation'!AA31</f>
        <v>265.22000000000003</v>
      </c>
      <c r="AB16" s="65">
        <f>W16+X16+Y16+Z16</f>
        <v>911.48699999999997</v>
      </c>
      <c r="AD16" s="65">
        <f>'Recurring Summary'!BA6+'Nonrecurring Summary'!BA6</f>
        <v>221.27700000000002</v>
      </c>
      <c r="AE16" s="65">
        <f>'Recurring Summary'!BC6+'Nonrecurring Summary'!BC6</f>
        <v>210.17000000000002</v>
      </c>
      <c r="AF16" s="65">
        <f>'Recurring Summary'!BE6+'Nonrecurring Summary'!BE6</f>
        <v>224.19299999999998</v>
      </c>
      <c r="AH16" s="65">
        <f>AD16+AE16+AF16</f>
        <v>655.64</v>
      </c>
    </row>
    <row r="17" spans="1:34" s="51" customFormat="1" ht="16.75">
      <c r="A17" s="51" t="s">
        <v>98</v>
      </c>
      <c r="B17" s="65">
        <v>191</v>
      </c>
      <c r="C17" s="65">
        <v>208</v>
      </c>
      <c r="D17" s="65">
        <v>215</v>
      </c>
      <c r="E17" s="65">
        <v>224</v>
      </c>
      <c r="F17" s="146"/>
      <c r="G17" s="65">
        <f>+B17+C17+D17+E17+1</f>
        <v>839</v>
      </c>
      <c r="H17" s="66"/>
      <c r="I17" s="65">
        <v>197</v>
      </c>
      <c r="J17" s="65">
        <v>211</v>
      </c>
      <c r="K17" s="65">
        <v>225</v>
      </c>
      <c r="L17" s="65">
        <v>237</v>
      </c>
      <c r="M17" s="146"/>
      <c r="N17" s="65">
        <v>871</v>
      </c>
      <c r="O17" s="66"/>
      <c r="P17" s="65">
        <v>222</v>
      </c>
      <c r="Q17" s="65">
        <v>229</v>
      </c>
      <c r="R17" s="65">
        <v>232</v>
      </c>
      <c r="S17" s="65">
        <v>241</v>
      </c>
      <c r="U17" s="65">
        <v>925</v>
      </c>
      <c r="W17" s="65">
        <v>220</v>
      </c>
      <c r="X17" s="65">
        <v>210</v>
      </c>
      <c r="Y17" s="65">
        <v>217</v>
      </c>
      <c r="Z17" s="65">
        <v>264</v>
      </c>
      <c r="AB17" s="65">
        <v>911</v>
      </c>
      <c r="AD17" s="65">
        <v>221</v>
      </c>
      <c r="AE17" s="65">
        <v>210</v>
      </c>
      <c r="AF17" s="65">
        <v>223</v>
      </c>
      <c r="AH17" s="65">
        <v>654</v>
      </c>
    </row>
    <row r="18" spans="1:34" s="51" customFormat="1" ht="16.75">
      <c r="A18" s="51" t="s">
        <v>99</v>
      </c>
      <c r="B18" s="67">
        <f>+((B16-B15)/B15)</f>
        <v>-0.12387256968411096</v>
      </c>
      <c r="C18" s="67">
        <f>+((C16-C15)/C15)</f>
        <v>-5.163352012599344E-2</v>
      </c>
      <c r="D18" s="67">
        <f>+((D16-D15)/D15)</f>
        <v>-2.9890831545088262E-2</v>
      </c>
      <c r="E18" s="67">
        <f>+((E16-E15)/E15)</f>
        <v>5.6346619482212701E-2</v>
      </c>
      <c r="F18" s="147"/>
      <c r="G18" s="67">
        <f>+((G16-G15)/G15)</f>
        <v>-3.7353412734768748E-2</v>
      </c>
      <c r="H18" s="66"/>
      <c r="I18" s="67">
        <f>+(I16-I15)/I15</f>
        <v>6.7763989277046646E-2</v>
      </c>
      <c r="J18" s="67">
        <f>+(J16-J15)/J15</f>
        <v>4.0956619968524517E-2</v>
      </c>
      <c r="K18" s="67">
        <f>+(K16-K15)/K15</f>
        <v>4.3591830728124684E-2</v>
      </c>
      <c r="L18" s="67">
        <f>+(L16-L15)/L15</f>
        <v>4.1073608949973826E-2</v>
      </c>
      <c r="M18" s="147"/>
      <c r="N18" s="67">
        <f>+((N16-N15)/N15)</f>
        <v>4.770141675479992E-2</v>
      </c>
      <c r="O18" s="66"/>
      <c r="P18" s="67">
        <f>+(P16-P15)/P15</f>
        <v>8.5697449280242491E-2</v>
      </c>
      <c r="Q18" s="67">
        <f>+(Q16-Q15)/Q15</f>
        <v>3.7105226545471562E-2</v>
      </c>
      <c r="R18" s="67">
        <f>+(R16-R15)/R15</f>
        <v>-5.7815694845942851E-3</v>
      </c>
      <c r="S18" s="67">
        <f>+(S16-S15)/S15</f>
        <v>2.4218918701493473E-3</v>
      </c>
      <c r="U18" s="67">
        <f>+(U16-U15)/U15</f>
        <v>2.7895489848753376E-2</v>
      </c>
      <c r="W18" s="67">
        <f>+(W16-W15)/W15</f>
        <v>-9.3774658037210652E-3</v>
      </c>
      <c r="X18" s="67">
        <f>+(X16-X15)/X15</f>
        <v>-5.9133125550572346E-2</v>
      </c>
      <c r="Y18" s="67">
        <f>+(Y16-Y15)/Y15</f>
        <v>-3.080012055882567E-2</v>
      </c>
      <c r="Z18" s="67">
        <f>+(Z16-Z15)/Z15</f>
        <v>0.12024870011108726</v>
      </c>
      <c r="AB18" s="67">
        <f>+(AB16-AB15)/AB15</f>
        <v>6.893146290459836E-3</v>
      </c>
      <c r="AD18" s="67">
        <f>+(AD16-AD15)/AD15</f>
        <v>1.8803552600682491E-2</v>
      </c>
      <c r="AE18" s="67">
        <f>+(AE16-AE15)/AE15</f>
        <v>-1.1263883806145536E-3</v>
      </c>
      <c r="AF18" s="67">
        <f>+(AF16-AF15)/AF15</f>
        <v>2.5271302940087031E-2</v>
      </c>
      <c r="AH18" s="67">
        <f>+(AH16-AH15)/AH15</f>
        <v>1.4503293530383028E-2</v>
      </c>
    </row>
    <row r="19" spans="1:34" s="51" customFormat="1" ht="16.75">
      <c r="A19" s="51" t="s">
        <v>100</v>
      </c>
      <c r="B19" s="68">
        <f>+B20-B18</f>
        <v>8.6766388563327829E-3</v>
      </c>
      <c r="C19" s="68">
        <f>+C20-C18</f>
        <v>3.9098267589641467E-3</v>
      </c>
      <c r="D19" s="68">
        <f>+D20-D18</f>
        <v>-1.0925768127450993E-2</v>
      </c>
      <c r="E19" s="68">
        <f>+E20-E18</f>
        <v>-1.3321847643881495E-2</v>
      </c>
      <c r="F19" s="147"/>
      <c r="G19" s="68">
        <f>+G20-G18</f>
        <v>-1.812872194228092E-3</v>
      </c>
      <c r="H19" s="66"/>
      <c r="I19" s="68">
        <f>+I20-I18</f>
        <v>-2.6135876950409045E-2</v>
      </c>
      <c r="J19" s="68">
        <f>+J20-J18</f>
        <v>-2.2351385013468738E-2</v>
      </c>
      <c r="K19" s="68">
        <f>+K20-K18</f>
        <v>-8.8664468450073211E-3</v>
      </c>
      <c r="L19" s="68">
        <f>+L20-L18</f>
        <v>3.6189561008723309E-3</v>
      </c>
      <c r="M19" s="147"/>
      <c r="N19" s="68">
        <f>+N20-N18</f>
        <v>-1.1515816998440308E-2</v>
      </c>
      <c r="O19" s="66"/>
      <c r="P19" s="68">
        <f>+P20-P18-0.001</f>
        <v>1.2622655897951293E-2</v>
      </c>
      <c r="Q19" s="68">
        <f>+Q20-Q18</f>
        <v>2.4899132773732652E-2</v>
      </c>
      <c r="R19" s="68">
        <f>+R20-R18</f>
        <v>2.8132271028696393E-2</v>
      </c>
      <c r="S19" s="68">
        <f>+S20-S18</f>
        <v>1.7990591881581322E-2</v>
      </c>
      <c r="U19" s="68">
        <f>+U20-U18</f>
        <v>2.2429259208793129E-2</v>
      </c>
      <c r="W19" s="68">
        <f>+W20-W18-0.001</f>
        <v>1.1802794995644295E-2</v>
      </c>
      <c r="X19" s="68">
        <f>+X20-X18</f>
        <v>-1.8199623486903974E-3</v>
      </c>
      <c r="Y19" s="68">
        <f>+Y20-Y18</f>
        <v>-7.3886603786964301E-3</v>
      </c>
      <c r="Z19" s="68">
        <f>+Z20-Z18</f>
        <v>-5.1530933343471724E-3</v>
      </c>
      <c r="AB19" s="68">
        <f>+AB20-AB18</f>
        <v>-5.3797471850220574E-4</v>
      </c>
      <c r="AD19" s="68">
        <f>+AD20-AD18</f>
        <v>-1.2753633864812201E-3</v>
      </c>
      <c r="AE19" s="68">
        <f>+AE20-AE18</f>
        <v>-8.0795791014565068E-4</v>
      </c>
      <c r="AF19" s="68">
        <f>+AF20-AF18</f>
        <v>-5.4557843661822945E-3</v>
      </c>
      <c r="AH19" s="68">
        <f>+AH20-AH18</f>
        <v>-2.5376508470956842E-3</v>
      </c>
    </row>
    <row r="20" spans="1:34" s="51" customFormat="1" ht="16.75">
      <c r="A20" s="51" t="s">
        <v>101</v>
      </c>
      <c r="B20" s="69">
        <f>+(B17-B15)/B15</f>
        <v>-0.11519593082777818</v>
      </c>
      <c r="C20" s="69">
        <f>+(C17-C15)/C15</f>
        <v>-4.7723693367029293E-2</v>
      </c>
      <c r="D20" s="69">
        <f>+(D17-D15)/D15</f>
        <v>-4.0816599672539255E-2</v>
      </c>
      <c r="E20" s="69">
        <f>+(E17-E15)/E15</f>
        <v>4.3024771838331206E-2</v>
      </c>
      <c r="F20" s="148"/>
      <c r="G20" s="69">
        <f>+(G17-G15)/G15</f>
        <v>-3.916628492899684E-2</v>
      </c>
      <c r="H20" s="66"/>
      <c r="I20" s="69">
        <f>+(I17-I15)/I15</f>
        <v>4.1628112326637601E-2</v>
      </c>
      <c r="J20" s="69">
        <f>+(J17-J15)/J15</f>
        <v>1.8605234955055779E-2</v>
      </c>
      <c r="K20" s="69">
        <f>+(K17-K15)/K15</f>
        <v>3.4725383883117363E-2</v>
      </c>
      <c r="L20" s="69">
        <f>+(L17-L15)/L15</f>
        <v>4.4692565050846157E-2</v>
      </c>
      <c r="M20" s="148"/>
      <c r="N20" s="69">
        <f>+(N17-N15)/N15</f>
        <v>3.6185599756359613E-2</v>
      </c>
      <c r="O20" s="66"/>
      <c r="P20" s="69">
        <f>+(P17-P15)/P15</f>
        <v>9.9320105178193785E-2</v>
      </c>
      <c r="Q20" s="69">
        <f>+(Q17-Q15)/Q15</f>
        <v>6.2004359319204214E-2</v>
      </c>
      <c r="R20" s="69">
        <f>+(R17-R15)/R15</f>
        <v>2.2350701544102108E-2</v>
      </c>
      <c r="S20" s="69">
        <f>+(S17-S15)/S15</f>
        <v>2.0412483751730669E-2</v>
      </c>
      <c r="U20" s="69">
        <f>+(U17-U15)/U15</f>
        <v>5.0324749057546504E-2</v>
      </c>
      <c r="W20" s="69">
        <f>+(W17-W15)/W15</f>
        <v>3.4253291919232299E-3</v>
      </c>
      <c r="X20" s="69">
        <f>+(X17-X15)/X15</f>
        <v>-6.0953087899262744E-2</v>
      </c>
      <c r="Y20" s="69">
        <f>+(Y17-Y15)/Y15</f>
        <v>-3.81887809375221E-2</v>
      </c>
      <c r="Z20" s="69">
        <f>+(Z17-Z15)/Z15</f>
        <v>0.11509560677674009</v>
      </c>
      <c r="AB20" s="69">
        <f>+(AB17-AB15)/AB15</f>
        <v>6.3551715719576303E-3</v>
      </c>
      <c r="AD20" s="69">
        <f>+(AD17-AD15)/AD15</f>
        <v>1.7528189214201271E-2</v>
      </c>
      <c r="AE20" s="69">
        <f>+(AE17-AE15)/AE15</f>
        <v>-1.9343462907602043E-3</v>
      </c>
      <c r="AF20" s="69">
        <f>+(AF17-AF15)/AF15</f>
        <v>1.9815518573904737E-2</v>
      </c>
      <c r="AH20" s="69">
        <f>+(AH17-AH15)/AH15</f>
        <v>1.1965642683287344E-2</v>
      </c>
    </row>
    <row r="28" spans="1:34">
      <c r="X28" s="61" t="s">
        <v>29</v>
      </c>
      <c r="Y28" s="61" t="s">
        <v>29</v>
      </c>
      <c r="Z28" s="61" t="s">
        <v>29</v>
      </c>
    </row>
  </sheetData>
  <mergeCells count="5">
    <mergeCell ref="B3:E3"/>
    <mergeCell ref="I3:L3"/>
    <mergeCell ref="P3:S3"/>
    <mergeCell ref="W3:Z3"/>
    <mergeCell ref="AD3:AF3"/>
  </mergeCells>
  <pageMargins left="0.25" right="0.25" top="0.75" bottom="0.75" header="0.3" footer="0.3"/>
  <pageSetup scale="4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5830E-903B-4581-8524-9ED33C6AF248}">
  <sheetPr codeName="Sheet7">
    <tabColor rgb="FF0079FF"/>
    <pageSetUpPr fitToPage="1"/>
  </sheetPr>
  <dimension ref="A1:AJ62"/>
  <sheetViews>
    <sheetView zoomScale="65" zoomScaleNormal="65" zoomScaleSheetLayoutView="85" workbookViewId="0">
      <pane xSplit="1" ySplit="4" topLeftCell="G5" activePane="bottomRight" state="frozen"/>
      <selection pane="topRight" activeCell="B1" sqref="B1"/>
      <selection pane="bottomLeft" activeCell="A5" sqref="A5"/>
      <selection pane="bottomRight" activeCell="G5" sqref="G5"/>
    </sheetView>
  </sheetViews>
  <sheetFormatPr defaultColWidth="9.1328125" defaultRowHeight="10.5" outlineLevelCol="1"/>
  <cols>
    <col min="1" max="1" width="72.86328125" style="61" customWidth="1"/>
    <col min="2" max="5" width="20.40625" style="61" hidden="1" customWidth="1" outlineLevel="1"/>
    <col min="6" max="6" width="1.40625" style="145" hidden="1" customWidth="1" outlineLevel="1"/>
    <col min="7" max="7" width="20.40625" style="61" customWidth="1" collapsed="1"/>
    <col min="8" max="8" width="2.1328125" style="145" customWidth="1"/>
    <col min="9" max="12" width="20.40625" style="61" hidden="1" customWidth="1" outlineLevel="1"/>
    <col min="13" max="13" width="2.1328125" style="145" hidden="1" customWidth="1" outlineLevel="1"/>
    <col min="14" max="14" width="20.40625" style="61" customWidth="1" collapsed="1"/>
    <col min="15" max="15" width="2.40625" style="61" customWidth="1"/>
    <col min="16" max="19" width="23" style="61" hidden="1" customWidth="1" outlineLevel="1"/>
    <col min="20" max="20" width="1.40625" style="37" hidden="1" customWidth="1" outlineLevel="1"/>
    <col min="21" max="21" width="21.1328125" style="61" customWidth="1" collapsed="1"/>
    <col min="22" max="22" width="2.40625" style="37" customWidth="1"/>
    <col min="23" max="26" width="18.40625" style="37" customWidth="1"/>
    <col min="27" max="27" width="2.40625" style="37" customWidth="1"/>
    <col min="28" max="28" width="21.1328125" style="61" customWidth="1"/>
    <col min="29" max="29" width="2.40625" style="37" customWidth="1"/>
    <col min="30" max="32" width="18.40625" style="37" customWidth="1"/>
    <col min="33" max="33" width="2" style="37" customWidth="1"/>
    <col min="34" max="34" width="21.1328125" style="61" customWidth="1"/>
    <col min="35" max="16384" width="9.1328125" style="37"/>
  </cols>
  <sheetData>
    <row r="1" spans="1:36" ht="18">
      <c r="A1" s="5" t="s">
        <v>43</v>
      </c>
    </row>
    <row r="2" spans="1:36" ht="10.75">
      <c r="A2" s="62"/>
    </row>
    <row r="3" spans="1:36" s="7" customFormat="1" ht="30" customHeight="1">
      <c r="A3" s="41"/>
      <c r="B3" s="355" t="s">
        <v>21</v>
      </c>
      <c r="C3" s="355"/>
      <c r="D3" s="355"/>
      <c r="E3" s="355"/>
      <c r="F3" s="138"/>
      <c r="G3" s="40" t="s">
        <v>22</v>
      </c>
      <c r="H3" s="138"/>
      <c r="I3" s="355" t="s">
        <v>21</v>
      </c>
      <c r="J3" s="355"/>
      <c r="K3" s="355"/>
      <c r="L3" s="355"/>
      <c r="M3" s="138"/>
      <c r="N3" s="40" t="s">
        <v>22</v>
      </c>
      <c r="O3" s="63"/>
      <c r="P3" s="355" t="s">
        <v>21</v>
      </c>
      <c r="Q3" s="355"/>
      <c r="R3" s="355"/>
      <c r="S3" s="355"/>
      <c r="U3" s="40" t="s">
        <v>22</v>
      </c>
      <c r="W3" s="355" t="s">
        <v>21</v>
      </c>
      <c r="X3" s="355"/>
      <c r="Y3" s="355"/>
      <c r="Z3" s="355"/>
      <c r="AB3" s="40" t="s">
        <v>22</v>
      </c>
      <c r="AD3" s="355" t="s">
        <v>21</v>
      </c>
      <c r="AE3" s="355"/>
      <c r="AF3" s="355"/>
      <c r="AH3" s="40" t="s">
        <v>320</v>
      </c>
    </row>
    <row r="4" spans="1:36" s="7" customFormat="1" ht="30" customHeight="1">
      <c r="A4" s="41" t="s">
        <v>24</v>
      </c>
      <c r="B4" s="42" t="s">
        <v>80</v>
      </c>
      <c r="C4" s="42" t="s">
        <v>81</v>
      </c>
      <c r="D4" s="42" t="s">
        <v>82</v>
      </c>
      <c r="E4" s="42" t="s">
        <v>83</v>
      </c>
      <c r="F4" s="139"/>
      <c r="G4" s="42" t="s">
        <v>83</v>
      </c>
      <c r="H4" s="139"/>
      <c r="I4" s="42" t="s">
        <v>84</v>
      </c>
      <c r="J4" s="42" t="s">
        <v>85</v>
      </c>
      <c r="K4" s="42" t="s">
        <v>86</v>
      </c>
      <c r="L4" s="42" t="s">
        <v>87</v>
      </c>
      <c r="M4" s="139"/>
      <c r="N4" s="42" t="s">
        <v>87</v>
      </c>
      <c r="O4" s="63"/>
      <c r="P4" s="42" t="s">
        <v>88</v>
      </c>
      <c r="Q4" s="42" t="s">
        <v>89</v>
      </c>
      <c r="R4" s="42" t="s">
        <v>90</v>
      </c>
      <c r="S4" s="42" t="s">
        <v>91</v>
      </c>
      <c r="U4" s="42" t="s">
        <v>91</v>
      </c>
      <c r="W4" s="42" t="s">
        <v>23</v>
      </c>
      <c r="X4" s="42" t="s">
        <v>92</v>
      </c>
      <c r="Y4" s="42" t="s">
        <v>93</v>
      </c>
      <c r="Z4" s="42" t="s">
        <v>94</v>
      </c>
      <c r="AB4" s="42" t="s">
        <v>94</v>
      </c>
      <c r="AD4" s="42" t="s">
        <v>95</v>
      </c>
      <c r="AE4" s="42" t="s">
        <v>309</v>
      </c>
      <c r="AF4" s="42" t="s">
        <v>319</v>
      </c>
      <c r="AH4" s="42" t="s">
        <v>319</v>
      </c>
    </row>
    <row r="5" spans="1:36" s="7" customFormat="1" ht="19.5" customHeight="1">
      <c r="A5" s="130"/>
      <c r="B5" s="131"/>
      <c r="C5" s="131"/>
      <c r="D5" s="131"/>
      <c r="E5" s="131"/>
      <c r="F5" s="139"/>
      <c r="G5" s="131"/>
      <c r="H5" s="139"/>
      <c r="I5" s="131"/>
      <c r="J5" s="131"/>
      <c r="K5" s="131"/>
      <c r="L5" s="131"/>
      <c r="M5" s="139"/>
      <c r="N5" s="131"/>
      <c r="O5" s="63"/>
      <c r="P5" s="131"/>
      <c r="Q5" s="131"/>
      <c r="R5" s="131"/>
      <c r="S5" s="131"/>
      <c r="U5" s="131"/>
      <c r="AB5" s="131"/>
      <c r="AH5" s="131"/>
    </row>
    <row r="6" spans="1:36" ht="16.75">
      <c r="A6" s="70" t="s">
        <v>102</v>
      </c>
    </row>
    <row r="7" spans="1:36" s="51" customFormat="1" ht="16.75">
      <c r="A7" s="46" t="s">
        <v>103</v>
      </c>
      <c r="B7" s="47">
        <f>+'Revenue Metrics Reconciliation'!C13</f>
        <v>185.86500000000001</v>
      </c>
      <c r="C7" s="47">
        <f>+'Revenue Metrics Reconciliation'!D13</f>
        <v>204.07999999999998</v>
      </c>
      <c r="D7" s="47">
        <f>+'Revenue Metrics Reconciliation'!E13</f>
        <v>215.22200000000001</v>
      </c>
      <c r="E7" s="47">
        <f>+'Revenue Metrics Reconciliation'!F13</f>
        <v>225.08000000000004</v>
      </c>
      <c r="F7" s="149"/>
      <c r="G7" s="47">
        <f>+B7+C7+D7+E7</f>
        <v>830.24700000000007</v>
      </c>
      <c r="H7" s="149"/>
      <c r="I7" s="47">
        <f>+'Revenue Metrics Reconciliation'!J13</f>
        <v>200.904</v>
      </c>
      <c r="J7" s="47">
        <f>+'Revenue Metrics Reconciliation'!K13</f>
        <v>214.61699999999999</v>
      </c>
      <c r="K7" s="47">
        <f>+'Revenue Metrics Reconciliation'!L13</f>
        <v>224.82</v>
      </c>
      <c r="L7" s="47">
        <f>+'Revenue Metrics Reconciliation'!M13</f>
        <v>234.16800000000001</v>
      </c>
      <c r="M7" s="149"/>
      <c r="N7" s="47">
        <f>+I7+J7+K7+L7</f>
        <v>874.5089999999999</v>
      </c>
      <c r="O7" s="66"/>
      <c r="P7" s="47">
        <f>+'Revenue Metrics Reconciliation'!Q13</f>
        <v>217.90600000000001</v>
      </c>
      <c r="Q7" s="47">
        <f>+'Revenue Metrics Reconciliation'!R13</f>
        <v>222.899</v>
      </c>
      <c r="R7" s="47">
        <f>+'Revenue Metrics Reconciliation'!S13</f>
        <v>225.19300000000001</v>
      </c>
      <c r="S7" s="47">
        <f>+'Revenue Metrics Reconciliation'!T13</f>
        <v>236.24699999999999</v>
      </c>
      <c r="U7" s="47">
        <f>SUM(P7:T7)</f>
        <v>902.245</v>
      </c>
      <c r="W7" s="47">
        <f>+'Revenue Metrics Reconciliation'!X13</f>
        <v>216.56600000000003</v>
      </c>
      <c r="X7" s="47">
        <f>+'Revenue Metrics Reconciliation'!Y13</f>
        <v>210.16499999999999</v>
      </c>
      <c r="Y7" s="47">
        <f>+'Revenue Metrics Reconciliation'!Z13</f>
        <v>218.54700000000003</v>
      </c>
      <c r="Z7" s="47">
        <f>+'Revenue Metrics Reconciliation'!AA13</f>
        <v>265.10899999999998</v>
      </c>
      <c r="AB7" s="47">
        <f>W7+X7+Y7+Z7</f>
        <v>910.38699999999994</v>
      </c>
      <c r="AD7" s="47">
        <v>221.27699999999999</v>
      </c>
      <c r="AE7" s="47">
        <f>'Summary P&amp;L'!BB8</f>
        <v>210.17000000000002</v>
      </c>
      <c r="AF7" s="47">
        <f>'Summary P&amp;L'!BD8</f>
        <v>224.19299999999998</v>
      </c>
      <c r="AH7" s="47">
        <f>SUM(AD7:AF7)</f>
        <v>655.64</v>
      </c>
    </row>
    <row r="8" spans="1:36" s="51" customFormat="1" ht="16.75">
      <c r="B8" s="66"/>
      <c r="C8" s="66"/>
      <c r="D8" s="66"/>
      <c r="E8" s="66"/>
      <c r="F8" s="150"/>
      <c r="G8" s="66"/>
      <c r="H8" s="150"/>
      <c r="I8" s="66"/>
      <c r="J8" s="66"/>
      <c r="K8" s="66"/>
      <c r="L8" s="66"/>
      <c r="M8" s="150"/>
      <c r="N8" s="66"/>
      <c r="O8" s="66"/>
      <c r="P8" s="66"/>
      <c r="Q8" s="66"/>
      <c r="R8" s="66"/>
      <c r="S8" s="66"/>
      <c r="U8" s="66"/>
      <c r="W8" s="66"/>
      <c r="X8" s="66"/>
      <c r="Y8" s="66"/>
      <c r="Z8" s="66"/>
      <c r="AB8" s="66"/>
      <c r="AD8" s="66"/>
      <c r="AE8" s="66"/>
      <c r="AF8" s="66"/>
      <c r="AH8" s="66"/>
    </row>
    <row r="9" spans="1:36" s="51" customFormat="1" ht="16.75">
      <c r="A9" s="51" t="s">
        <v>104</v>
      </c>
      <c r="B9" s="73">
        <v>34.927999999999997</v>
      </c>
      <c r="C9" s="73">
        <v>32.936</v>
      </c>
      <c r="D9" s="73">
        <v>35.387999999999998</v>
      </c>
      <c r="E9" s="73">
        <v>35.792000000000002</v>
      </c>
      <c r="F9" s="151"/>
      <c r="G9" s="73">
        <f>+B9+C9+D9+E9</f>
        <v>139.04400000000001</v>
      </c>
      <c r="H9" s="151"/>
      <c r="I9" s="73">
        <v>38.076000000000001</v>
      </c>
      <c r="J9" s="73">
        <v>37.636000000000003</v>
      </c>
      <c r="K9" s="73">
        <v>36.811</v>
      </c>
      <c r="L9" s="73">
        <v>44.045999999999999</v>
      </c>
      <c r="M9" s="151"/>
      <c r="N9" s="73">
        <f>+I9+J9+K9+L9</f>
        <v>156.56899999999999</v>
      </c>
      <c r="O9" s="66"/>
      <c r="P9" s="73">
        <v>41.027999999999999</v>
      </c>
      <c r="Q9" s="73">
        <v>40.851999999999997</v>
      </c>
      <c r="R9" s="73">
        <v>38.834000000000003</v>
      </c>
      <c r="S9" s="73">
        <v>41.633000000000003</v>
      </c>
      <c r="U9" s="73">
        <f>SUM(P9:T9)</f>
        <v>162.34700000000001</v>
      </c>
      <c r="W9" s="73">
        <v>39.643000000000001</v>
      </c>
      <c r="X9" s="73">
        <v>39.567</v>
      </c>
      <c r="Y9" s="73">
        <v>38.883000000000003</v>
      </c>
      <c r="Z9" s="73">
        <v>44.774999999999999</v>
      </c>
      <c r="AB9" s="73">
        <f>W9+X9+Y9+Z9</f>
        <v>162.86800000000002</v>
      </c>
      <c r="AD9" s="73">
        <v>35.923000000000002</v>
      </c>
      <c r="AE9" s="73">
        <v>36.302999999999997</v>
      </c>
      <c r="AF9" s="73">
        <v>38.741999999999997</v>
      </c>
      <c r="AH9" s="73">
        <f>SUM(AD9:AF9)</f>
        <v>110.96799999999999</v>
      </c>
    </row>
    <row r="10" spans="1:36" s="51" customFormat="1" ht="16.75">
      <c r="A10" s="51" t="s">
        <v>105</v>
      </c>
      <c r="B10" s="73">
        <v>31.619</v>
      </c>
      <c r="C10" s="73">
        <v>29.776</v>
      </c>
      <c r="D10" s="73">
        <v>34.44</v>
      </c>
      <c r="E10" s="73">
        <v>34.71</v>
      </c>
      <c r="F10" s="151"/>
      <c r="G10" s="73">
        <f>+B10+C10+D10+E10</f>
        <v>130.54499999999999</v>
      </c>
      <c r="H10" s="151"/>
      <c r="I10" s="73">
        <v>29.88</v>
      </c>
      <c r="J10" s="73">
        <v>30.504999999999999</v>
      </c>
      <c r="K10" s="73">
        <v>30.524000000000001</v>
      </c>
      <c r="L10" s="73">
        <v>33.317</v>
      </c>
      <c r="M10" s="151"/>
      <c r="N10" s="73">
        <f>+I10+J10+K10+L10</f>
        <v>124.226</v>
      </c>
      <c r="O10" s="66"/>
      <c r="P10" s="73">
        <v>32.067999999999998</v>
      </c>
      <c r="Q10" s="73">
        <v>30.7</v>
      </c>
      <c r="R10" s="73">
        <v>28.013000000000002</v>
      </c>
      <c r="S10" s="73">
        <v>28.748999999999999</v>
      </c>
      <c r="U10" s="73">
        <f>SUM(P10:T10)</f>
        <v>119.53</v>
      </c>
      <c r="W10" s="73">
        <v>26.795000000000002</v>
      </c>
      <c r="X10" s="73">
        <v>27.372</v>
      </c>
      <c r="Y10" s="73">
        <v>25.045999999999999</v>
      </c>
      <c r="Z10" s="73">
        <v>27.896999999999998</v>
      </c>
      <c r="AB10" s="73">
        <f>W10+X10+Y10+Z10</f>
        <v>107.10999999999999</v>
      </c>
      <c r="AD10" s="73">
        <v>26.48</v>
      </c>
      <c r="AE10" s="73">
        <v>26.8</v>
      </c>
      <c r="AF10" s="73">
        <v>25.324000000000002</v>
      </c>
      <c r="AH10" s="73">
        <f>SUM(AD10:AF10)</f>
        <v>78.603999999999999</v>
      </c>
    </row>
    <row r="11" spans="1:36" s="51" customFormat="1" ht="16.75">
      <c r="A11" s="51" t="s">
        <v>106</v>
      </c>
      <c r="B11" s="74">
        <v>4.3559999999999999</v>
      </c>
      <c r="C11" s="74">
        <v>4.1890000000000001</v>
      </c>
      <c r="D11" s="74">
        <v>4.0439999999999996</v>
      </c>
      <c r="E11" s="74">
        <v>5.3730000000000002</v>
      </c>
      <c r="F11" s="78"/>
      <c r="G11" s="74">
        <f>+B11+C11+D11+E11</f>
        <v>17.962</v>
      </c>
      <c r="H11" s="78"/>
      <c r="I11" s="74">
        <v>4.3840000000000003</v>
      </c>
      <c r="J11" s="74">
        <v>4.4260000000000002</v>
      </c>
      <c r="K11" s="74">
        <v>4.7489999999999997</v>
      </c>
      <c r="L11" s="74">
        <v>4.218</v>
      </c>
      <c r="M11" s="78"/>
      <c r="N11" s="74">
        <f>+I11+J11+K11+L11</f>
        <v>17.777000000000001</v>
      </c>
      <c r="O11" s="66"/>
      <c r="P11" s="74">
        <v>3.6389999999999998</v>
      </c>
      <c r="Q11" s="74">
        <v>3.5529999999999999</v>
      </c>
      <c r="R11" s="74">
        <v>3.55</v>
      </c>
      <c r="S11" s="74">
        <v>2.4489999999999998</v>
      </c>
      <c r="U11" s="74">
        <f>SUM(P11:T11)</f>
        <v>13.191000000000001</v>
      </c>
      <c r="W11" s="74">
        <v>1.9650000000000001</v>
      </c>
      <c r="X11" s="74">
        <v>1.9370000000000001</v>
      </c>
      <c r="Y11" s="74">
        <v>1.609</v>
      </c>
      <c r="Z11" s="74">
        <v>1.623</v>
      </c>
      <c r="AB11" s="74">
        <f>W11+X11+Y11+Z11</f>
        <v>7.1340000000000003</v>
      </c>
      <c r="AD11" s="74">
        <v>1.3580000000000001</v>
      </c>
      <c r="AE11" s="74">
        <v>1.641</v>
      </c>
      <c r="AF11" s="74">
        <v>1.5</v>
      </c>
      <c r="AH11" s="74">
        <f>SUM(AD11:AF11)</f>
        <v>4.4990000000000006</v>
      </c>
    </row>
    <row r="12" spans="1:36" s="51" customFormat="1" ht="16.75">
      <c r="A12" s="46" t="s">
        <v>107</v>
      </c>
      <c r="B12" s="86">
        <f>SUM(B9:B11)</f>
        <v>70.902999999999992</v>
      </c>
      <c r="C12" s="86">
        <f>SUM(C9:C11)</f>
        <v>66.90100000000001</v>
      </c>
      <c r="D12" s="86">
        <f>SUM(D9:D11)</f>
        <v>73.872</v>
      </c>
      <c r="E12" s="86">
        <f>SUM(E9:E11)</f>
        <v>75.875000000000014</v>
      </c>
      <c r="F12" s="144"/>
      <c r="G12" s="86">
        <f>+B12+C12+D12+E12</f>
        <v>287.55099999999999</v>
      </c>
      <c r="H12" s="144"/>
      <c r="I12" s="86">
        <f>SUM(I9:I11)</f>
        <v>72.34</v>
      </c>
      <c r="J12" s="86">
        <f>SUM(J9:J11)</f>
        <v>72.567000000000007</v>
      </c>
      <c r="K12" s="86">
        <f>SUM(K9:K11)</f>
        <v>72.084000000000003</v>
      </c>
      <c r="L12" s="86">
        <f>SUM(L9:L11)</f>
        <v>81.581000000000003</v>
      </c>
      <c r="M12" s="144"/>
      <c r="N12" s="86">
        <f>+I12+J12+K12+L12</f>
        <v>298.572</v>
      </c>
      <c r="O12" s="66"/>
      <c r="P12" s="86">
        <f>SUM(P9:P11)</f>
        <v>76.734999999999999</v>
      </c>
      <c r="Q12" s="86">
        <f>SUM(Q9:Q11)</f>
        <v>75.10499999999999</v>
      </c>
      <c r="R12" s="86">
        <f>SUM(R9:R11)</f>
        <v>70.397000000000006</v>
      </c>
      <c r="S12" s="86">
        <f>SUM(S9:S11)</f>
        <v>72.831000000000003</v>
      </c>
      <c r="U12" s="86">
        <f>SUM(P12:T12)</f>
        <v>295.06799999999998</v>
      </c>
      <c r="W12" s="86">
        <f>SUM(W9:W11)</f>
        <v>68.403000000000006</v>
      </c>
      <c r="X12" s="86">
        <f>SUM(X9:X11)</f>
        <v>68.875999999999991</v>
      </c>
      <c r="Y12" s="86">
        <f>SUM(Y9:Y11)</f>
        <v>65.537999999999997</v>
      </c>
      <c r="Z12" s="86">
        <f>SUM(Z9:Z11)</f>
        <v>74.295000000000002</v>
      </c>
      <c r="AB12" s="86">
        <f>W12+X12+Y12+Z12</f>
        <v>277.11200000000002</v>
      </c>
      <c r="AD12" s="86">
        <f>SUM(AD9:AD11)</f>
        <v>63.761000000000003</v>
      </c>
      <c r="AE12" s="86">
        <f>SUM(AE9:AE11)</f>
        <v>64.744</v>
      </c>
      <c r="AF12" s="86">
        <f>SUM(AF9:AF11)</f>
        <v>65.566000000000003</v>
      </c>
      <c r="AH12" s="86">
        <f>SUM(AH9:AH11)</f>
        <v>194.071</v>
      </c>
    </row>
    <row r="13" spans="1:36" s="51" customFormat="1" ht="16.75">
      <c r="B13" s="73"/>
      <c r="C13" s="73"/>
      <c r="D13" s="73"/>
      <c r="E13" s="73"/>
      <c r="F13" s="151"/>
      <c r="G13" s="73"/>
      <c r="H13" s="151"/>
      <c r="I13" s="73"/>
      <c r="J13" s="73"/>
      <c r="K13" s="73"/>
      <c r="L13" s="73"/>
      <c r="M13" s="151"/>
      <c r="N13" s="73"/>
      <c r="O13" s="66"/>
      <c r="P13" s="73"/>
      <c r="Q13" s="73"/>
      <c r="R13" s="73"/>
      <c r="S13" s="73"/>
      <c r="U13" s="73"/>
      <c r="W13" s="73"/>
      <c r="X13" s="73"/>
      <c r="Y13" s="73"/>
      <c r="Z13" s="73"/>
      <c r="AB13" s="73"/>
      <c r="AD13" s="73"/>
      <c r="AE13" s="73"/>
      <c r="AF13" s="73"/>
      <c r="AH13" s="73"/>
      <c r="AJ13" s="296"/>
    </row>
    <row r="14" spans="1:36" s="51" customFormat="1" ht="16.75">
      <c r="A14" s="46" t="s">
        <v>108</v>
      </c>
      <c r="B14" s="47">
        <f>+B7-B12</f>
        <v>114.96200000000002</v>
      </c>
      <c r="C14" s="47">
        <f>+C7-C12</f>
        <v>137.17899999999997</v>
      </c>
      <c r="D14" s="47">
        <f>+D7-D12</f>
        <v>141.35000000000002</v>
      </c>
      <c r="E14" s="47">
        <f>+E7-E12</f>
        <v>149.20500000000004</v>
      </c>
      <c r="F14" s="149"/>
      <c r="G14" s="47">
        <f>+B14+C14+D14+E14</f>
        <v>542.69600000000003</v>
      </c>
      <c r="H14" s="149"/>
      <c r="I14" s="47">
        <f>+I7-I12</f>
        <v>128.56399999999999</v>
      </c>
      <c r="J14" s="47">
        <f>+J7-J12</f>
        <v>142.04999999999998</v>
      </c>
      <c r="K14" s="47">
        <f>+K7-K12</f>
        <v>152.73599999999999</v>
      </c>
      <c r="L14" s="47">
        <f>+L7-L12</f>
        <v>152.58699999999999</v>
      </c>
      <c r="M14" s="149"/>
      <c r="N14" s="47">
        <f>+I14+J14+K14+L14</f>
        <v>575.9369999999999</v>
      </c>
      <c r="O14" s="66"/>
      <c r="P14" s="47">
        <f>+P7-P12</f>
        <v>141.17099999999999</v>
      </c>
      <c r="Q14" s="47">
        <f>+Q7-Q12</f>
        <v>147.79400000000001</v>
      </c>
      <c r="R14" s="47">
        <f>+R7-R12</f>
        <v>154.79599999999999</v>
      </c>
      <c r="S14" s="47">
        <f>+S7-S12</f>
        <v>163.416</v>
      </c>
      <c r="U14" s="47">
        <f>SUM(P14:T14)</f>
        <v>607.17700000000002</v>
      </c>
      <c r="W14" s="47">
        <f>+W7-W12</f>
        <v>148.16300000000001</v>
      </c>
      <c r="X14" s="47">
        <f>+X7-X12</f>
        <v>141.28899999999999</v>
      </c>
      <c r="Y14" s="47">
        <f>+Y7-Y12</f>
        <v>153.00900000000001</v>
      </c>
      <c r="Z14" s="47">
        <f>+Z7-Z12</f>
        <v>190.81399999999996</v>
      </c>
      <c r="AB14" s="47">
        <f>W14+X14+Y14+Z14</f>
        <v>633.27499999999998</v>
      </c>
      <c r="AD14" s="47">
        <f>+AD7-AD12</f>
        <v>157.51599999999999</v>
      </c>
      <c r="AE14" s="47">
        <f>+AE7-AE12</f>
        <v>145.42600000000002</v>
      </c>
      <c r="AF14" s="47">
        <f>+AF7-AF12</f>
        <v>158.62699999999998</v>
      </c>
      <c r="AH14" s="47">
        <f>+AH7-AH12</f>
        <v>461.56899999999996</v>
      </c>
    </row>
    <row r="15" spans="1:36" s="51" customFormat="1" ht="16.75">
      <c r="A15" s="46" t="s">
        <v>109</v>
      </c>
      <c r="B15" s="75">
        <v>0.61899999999999999</v>
      </c>
      <c r="C15" s="75">
        <v>0.67200000000000004</v>
      </c>
      <c r="D15" s="75">
        <v>0.65700000000000003</v>
      </c>
      <c r="E15" s="75">
        <v>0.66300000000000003</v>
      </c>
      <c r="F15" s="152"/>
      <c r="G15" s="75">
        <v>0.65400000000000003</v>
      </c>
      <c r="H15" s="152"/>
      <c r="I15" s="75">
        <v>0.64</v>
      </c>
      <c r="J15" s="75">
        <v>0.66200000000000003</v>
      </c>
      <c r="K15" s="75">
        <v>0.67900000000000005</v>
      </c>
      <c r="L15" s="75">
        <v>0.65200000000000002</v>
      </c>
      <c r="M15" s="152"/>
      <c r="N15" s="75">
        <v>0.65900000000000003</v>
      </c>
      <c r="O15" s="66"/>
      <c r="P15" s="75">
        <v>0.64800000000000002</v>
      </c>
      <c r="Q15" s="75">
        <v>0.66300000000000003</v>
      </c>
      <c r="R15" s="75">
        <v>0.68700000000000006</v>
      </c>
      <c r="S15" s="75">
        <v>0.69199999999999995</v>
      </c>
      <c r="U15" s="75">
        <v>0.67300000000000004</v>
      </c>
      <c r="W15" s="75">
        <v>0.68400000000000005</v>
      </c>
      <c r="X15" s="75">
        <v>0.67200000000000004</v>
      </c>
      <c r="Y15" s="75">
        <v>0.7</v>
      </c>
      <c r="Z15" s="75">
        <v>0.72</v>
      </c>
      <c r="AB15" s="75">
        <v>0.69599999999999995</v>
      </c>
      <c r="AD15" s="75">
        <v>0.71199999999999997</v>
      </c>
      <c r="AE15" s="75">
        <v>0.69199999999999995</v>
      </c>
      <c r="AF15" s="75">
        <v>0.70799999999999996</v>
      </c>
      <c r="AH15" s="75">
        <v>0.70399999999999996</v>
      </c>
      <c r="AJ15" s="295"/>
    </row>
    <row r="16" spans="1:36" s="51" customFormat="1" ht="16.75">
      <c r="A16" s="51" t="s">
        <v>110</v>
      </c>
      <c r="B16" s="76">
        <f>+'Revenue Metrics Reconciliation'!C22</f>
        <v>3.2620000000000005</v>
      </c>
      <c r="C16" s="76">
        <f>+'Revenue Metrics Reconciliation'!D22</f>
        <v>3.0660000000000309</v>
      </c>
      <c r="D16" s="76">
        <f>+'Revenue Metrics Reconciliation'!E22</f>
        <v>2.2270000000000039</v>
      </c>
      <c r="E16" s="76">
        <f>+'Revenue Metrics Reconciliation'!F22</f>
        <v>1.7809999999999491</v>
      </c>
      <c r="F16" s="153"/>
      <c r="G16" s="76">
        <f t="shared" ref="G16:G25" si="0">+B16+C16+D16+E16</f>
        <v>10.335999999999984</v>
      </c>
      <c r="H16" s="153"/>
      <c r="I16" s="76">
        <v>1.0389999999999999</v>
      </c>
      <c r="J16" s="76">
        <v>1.0129999999999999</v>
      </c>
      <c r="K16" s="76">
        <v>2.1080000000000001</v>
      </c>
      <c r="L16" s="76">
        <v>2.0110000000000001</v>
      </c>
      <c r="M16" s="153"/>
      <c r="N16" s="76">
        <f t="shared" ref="N16:N25" si="1">+I16+J16+K16+L16</f>
        <v>6.1710000000000003</v>
      </c>
      <c r="O16" s="66"/>
      <c r="P16" s="76">
        <v>1.343</v>
      </c>
      <c r="Q16" s="76">
        <v>0.73199999999999998</v>
      </c>
      <c r="R16" s="76">
        <v>0.42299999999999999</v>
      </c>
      <c r="S16" s="76">
        <v>0.504</v>
      </c>
      <c r="U16" s="76">
        <f>SUM(P16:T16)</f>
        <v>3.0020000000000002</v>
      </c>
      <c r="W16" s="76">
        <v>0.627</v>
      </c>
      <c r="X16" s="76">
        <v>0.24199999999999999</v>
      </c>
      <c r="Y16" s="76">
        <v>0.12</v>
      </c>
      <c r="Z16" s="76">
        <v>0.111</v>
      </c>
      <c r="AB16" s="76">
        <f t="shared" ref="AB16:AB24" si="2">W16+X16+Y16+Z16</f>
        <v>1.1000000000000001</v>
      </c>
      <c r="AD16" s="76">
        <v>0</v>
      </c>
      <c r="AE16" s="76">
        <v>0</v>
      </c>
      <c r="AF16" s="76">
        <v>0</v>
      </c>
      <c r="AH16" s="76">
        <f>SUM(AD16:AF16)</f>
        <v>0</v>
      </c>
    </row>
    <row r="17" spans="1:34" s="51" customFormat="1" ht="16.75">
      <c r="A17" s="51" t="s">
        <v>106</v>
      </c>
      <c r="B17" s="73">
        <f>B11</f>
        <v>4.3559999999999999</v>
      </c>
      <c r="C17" s="73">
        <f>C11</f>
        <v>4.1890000000000001</v>
      </c>
      <c r="D17" s="73">
        <f>D11</f>
        <v>4.0439999999999996</v>
      </c>
      <c r="E17" s="73">
        <f>E11</f>
        <v>5.3730000000000002</v>
      </c>
      <c r="F17" s="151"/>
      <c r="G17" s="73">
        <f t="shared" si="0"/>
        <v>17.962</v>
      </c>
      <c r="H17" s="151"/>
      <c r="I17" s="73">
        <v>4.3840000000000003</v>
      </c>
      <c r="J17" s="73">
        <v>4.4260000000000002</v>
      </c>
      <c r="K17" s="73">
        <v>4.7489999999999997</v>
      </c>
      <c r="L17" s="73">
        <v>4.218</v>
      </c>
      <c r="M17" s="151"/>
      <c r="N17" s="73">
        <f t="shared" si="1"/>
        <v>17.777000000000001</v>
      </c>
      <c r="O17" s="66"/>
      <c r="P17" s="73">
        <v>3.6389999999999998</v>
      </c>
      <c r="Q17" s="73">
        <v>3.5529999999999999</v>
      </c>
      <c r="R17" s="73">
        <v>3.55</v>
      </c>
      <c r="S17" s="73">
        <v>2.4489999999999998</v>
      </c>
      <c r="U17" s="73">
        <f t="shared" ref="U17:U25" si="3">SUM(P17:T17)</f>
        <v>13.191000000000001</v>
      </c>
      <c r="W17" s="73">
        <v>1.9650000000000001</v>
      </c>
      <c r="X17" s="73">
        <v>1.9370000000000001</v>
      </c>
      <c r="Y17" s="73">
        <v>1.609</v>
      </c>
      <c r="Z17" s="73">
        <v>1.623</v>
      </c>
      <c r="AB17" s="73">
        <f t="shared" si="2"/>
        <v>7.1340000000000003</v>
      </c>
      <c r="AD17" s="73">
        <v>1.3580000000000001</v>
      </c>
      <c r="AE17" s="73">
        <v>1.641</v>
      </c>
      <c r="AF17" s="73">
        <v>1.5</v>
      </c>
      <c r="AH17" s="73">
        <f>SUM(AD17:AF17)</f>
        <v>4.4990000000000006</v>
      </c>
    </row>
    <row r="18" spans="1:34" s="51" customFormat="1" ht="16.75">
      <c r="A18" s="51" t="s">
        <v>111</v>
      </c>
      <c r="B18" s="73">
        <v>0.53700000000000003</v>
      </c>
      <c r="C18" s="73">
        <v>1.157</v>
      </c>
      <c r="D18" s="73">
        <v>1.7529999999999999</v>
      </c>
      <c r="E18" s="73">
        <v>-0.154</v>
      </c>
      <c r="F18" s="151"/>
      <c r="G18" s="73">
        <f t="shared" si="0"/>
        <v>3.2930000000000001</v>
      </c>
      <c r="H18" s="151"/>
      <c r="I18" s="73">
        <v>1.262</v>
      </c>
      <c r="J18" s="73">
        <v>1.4259999999999999</v>
      </c>
      <c r="K18" s="73">
        <v>1.23</v>
      </c>
      <c r="L18" s="73">
        <v>1.1100000000000001</v>
      </c>
      <c r="M18" s="151"/>
      <c r="N18" s="73">
        <f t="shared" si="1"/>
        <v>5.0279999999999996</v>
      </c>
      <c r="O18" s="66"/>
      <c r="P18" s="73">
        <v>1.165</v>
      </c>
      <c r="Q18" s="73">
        <v>1.7509999999999999</v>
      </c>
      <c r="R18" s="73">
        <v>1.329</v>
      </c>
      <c r="S18" s="73">
        <v>1.417</v>
      </c>
      <c r="U18" s="73">
        <f t="shared" si="3"/>
        <v>5.6619999999999999</v>
      </c>
      <c r="W18" s="73">
        <v>0.436</v>
      </c>
      <c r="X18" s="73">
        <v>1.3759999999999999</v>
      </c>
      <c r="Y18" s="73">
        <v>1.093</v>
      </c>
      <c r="Z18" s="73">
        <v>1.226</v>
      </c>
      <c r="AB18" s="73">
        <f t="shared" si="2"/>
        <v>4.1310000000000002</v>
      </c>
      <c r="AD18" s="73">
        <v>1.0820000000000001</v>
      </c>
      <c r="AE18" s="73">
        <v>2.1739999999999999</v>
      </c>
      <c r="AF18" s="73">
        <v>0.89900000000000002</v>
      </c>
      <c r="AH18" s="73">
        <f>SUM(AD18:AF18)</f>
        <v>4.1550000000000002</v>
      </c>
    </row>
    <row r="19" spans="1:34" s="51" customFormat="1" ht="16.75">
      <c r="A19" s="51" t="s">
        <v>112</v>
      </c>
      <c r="B19" s="76">
        <v>0.189</v>
      </c>
      <c r="C19" s="76">
        <v>5.2999999999999999E-2</v>
      </c>
      <c r="D19" s="76">
        <v>9.1999999999999998E-2</v>
      </c>
      <c r="E19" s="76">
        <v>1.7999999999999999E-2</v>
      </c>
      <c r="F19" s="153"/>
      <c r="G19" s="76">
        <f t="shared" si="0"/>
        <v>0.35199999999999998</v>
      </c>
      <c r="H19" s="153"/>
      <c r="I19" s="76">
        <v>2.5000000000000001E-2</v>
      </c>
      <c r="J19" s="76">
        <v>2.5000000000000001E-2</v>
      </c>
      <c r="K19" s="76">
        <v>0.121</v>
      </c>
      <c r="L19" s="76">
        <v>0.16900000000000001</v>
      </c>
      <c r="M19" s="153"/>
      <c r="N19" s="76">
        <f t="shared" si="1"/>
        <v>0.33999999999999997</v>
      </c>
      <c r="O19" s="66"/>
      <c r="P19" s="76">
        <v>0.251</v>
      </c>
      <c r="Q19" s="76">
        <v>-7.4999999999999997E-2</v>
      </c>
      <c r="R19" s="76">
        <v>0</v>
      </c>
      <c r="S19" s="76">
        <v>0</v>
      </c>
      <c r="U19" s="76">
        <f t="shared" si="3"/>
        <v>0.17599999999999999</v>
      </c>
      <c r="W19" s="76">
        <v>5.6000000000000001E-2</v>
      </c>
      <c r="X19" s="76">
        <v>0.26600000000000001</v>
      </c>
      <c r="Y19" s="76">
        <v>3.1E-2</v>
      </c>
      <c r="Z19" s="76">
        <v>-0.23599999999999999</v>
      </c>
      <c r="AB19" s="76">
        <f t="shared" si="2"/>
        <v>0.11699999999999999</v>
      </c>
      <c r="AD19" s="76">
        <v>0</v>
      </c>
      <c r="AE19" s="76">
        <v>0</v>
      </c>
      <c r="AF19" s="76">
        <v>3.7999999999999999E-2</v>
      </c>
      <c r="AH19" s="76">
        <f t="shared" ref="AH19:AH23" si="4">SUM(AD19:AF19)</f>
        <v>3.7999999999999999E-2</v>
      </c>
    </row>
    <row r="20" spans="1:34" s="51" customFormat="1" ht="16.75">
      <c r="A20" s="51" t="s">
        <v>113</v>
      </c>
      <c r="B20" s="77">
        <v>1.619</v>
      </c>
      <c r="C20" s="77">
        <v>-5.8999999999999997E-2</v>
      </c>
      <c r="D20" s="77">
        <v>0.20100000000000001</v>
      </c>
      <c r="E20" s="77">
        <v>0.40899999999999997</v>
      </c>
      <c r="F20" s="78"/>
      <c r="G20" s="77">
        <f t="shared" si="0"/>
        <v>2.17</v>
      </c>
      <c r="H20" s="78"/>
      <c r="I20" s="77">
        <v>0.46200000000000002</v>
      </c>
      <c r="J20" s="77">
        <v>8.5000000000000006E-2</v>
      </c>
      <c r="K20" s="77">
        <v>0.245</v>
      </c>
      <c r="L20" s="77">
        <f>0.052</f>
        <v>5.1999999999999998E-2</v>
      </c>
      <c r="M20" s="78"/>
      <c r="N20" s="77">
        <f t="shared" si="1"/>
        <v>0.84400000000000008</v>
      </c>
      <c r="O20" s="66"/>
      <c r="P20" s="77">
        <v>0.33800000000000002</v>
      </c>
      <c r="Q20" s="77">
        <v>3.7999999999999999E-2</v>
      </c>
      <c r="R20" s="77">
        <v>0.59299999999999997</v>
      </c>
      <c r="S20" s="77">
        <v>1.478</v>
      </c>
      <c r="U20" s="77">
        <f t="shared" si="3"/>
        <v>2.4470000000000001</v>
      </c>
      <c r="W20" s="77">
        <v>0.25800000000000001</v>
      </c>
      <c r="X20" s="77">
        <v>1.1910000000000001</v>
      </c>
      <c r="Y20" s="77">
        <v>-2E-3</v>
      </c>
      <c r="Z20" s="77">
        <v>4.665</v>
      </c>
      <c r="AB20" s="77">
        <f t="shared" si="2"/>
        <v>6.1120000000000001</v>
      </c>
      <c r="AD20" s="77">
        <v>0.182</v>
      </c>
      <c r="AE20" s="77">
        <v>0.41699999999999998</v>
      </c>
      <c r="AF20" s="77">
        <v>0.247</v>
      </c>
      <c r="AH20" s="77">
        <f t="shared" si="4"/>
        <v>0.84599999999999997</v>
      </c>
    </row>
    <row r="21" spans="1:34" s="51" customFormat="1" ht="16.75">
      <c r="A21" s="51" t="s">
        <v>114</v>
      </c>
      <c r="B21" s="77">
        <v>0</v>
      </c>
      <c r="C21" s="77">
        <v>0</v>
      </c>
      <c r="D21" s="77">
        <v>0</v>
      </c>
      <c r="E21" s="77">
        <v>0</v>
      </c>
      <c r="F21" s="78"/>
      <c r="G21" s="77">
        <f t="shared" si="0"/>
        <v>0</v>
      </c>
      <c r="H21" s="78"/>
      <c r="I21" s="77">
        <v>7.8E-2</v>
      </c>
      <c r="J21" s="77">
        <v>0</v>
      </c>
      <c r="K21" s="77">
        <v>0</v>
      </c>
      <c r="L21" s="77">
        <v>0</v>
      </c>
      <c r="M21" s="78"/>
      <c r="N21" s="77">
        <f t="shared" si="1"/>
        <v>7.8E-2</v>
      </c>
      <c r="O21" s="66"/>
      <c r="P21" s="77">
        <v>0</v>
      </c>
      <c r="Q21" s="77">
        <v>0</v>
      </c>
      <c r="R21" s="77">
        <v>0</v>
      </c>
      <c r="S21" s="77">
        <v>0</v>
      </c>
      <c r="U21" s="77">
        <f t="shared" si="3"/>
        <v>0</v>
      </c>
      <c r="W21" s="77">
        <v>0</v>
      </c>
      <c r="X21" s="77">
        <v>0</v>
      </c>
      <c r="Y21" s="77">
        <v>0</v>
      </c>
      <c r="Z21" s="77">
        <v>0</v>
      </c>
      <c r="AB21" s="77">
        <f t="shared" si="2"/>
        <v>0</v>
      </c>
      <c r="AD21" s="77">
        <v>0</v>
      </c>
      <c r="AE21" s="77">
        <v>0</v>
      </c>
      <c r="AF21" s="77">
        <v>0</v>
      </c>
      <c r="AH21" s="77">
        <f t="shared" si="4"/>
        <v>0</v>
      </c>
    </row>
    <row r="22" spans="1:34" s="51" customFormat="1" ht="16.75">
      <c r="A22" s="51" t="s">
        <v>115</v>
      </c>
      <c r="B22" s="77">
        <v>0</v>
      </c>
      <c r="C22" s="77">
        <v>0</v>
      </c>
      <c r="D22" s="77">
        <v>0.14499999999999999</v>
      </c>
      <c r="E22" s="77">
        <v>0</v>
      </c>
      <c r="F22" s="78"/>
      <c r="G22" s="77">
        <f t="shared" si="0"/>
        <v>0.14499999999999999</v>
      </c>
      <c r="H22" s="78"/>
      <c r="I22" s="77">
        <v>0</v>
      </c>
      <c r="J22" s="77">
        <v>0</v>
      </c>
      <c r="K22" s="77">
        <v>0</v>
      </c>
      <c r="L22" s="77">
        <v>0</v>
      </c>
      <c r="M22" s="78"/>
      <c r="N22" s="77">
        <f t="shared" si="1"/>
        <v>0</v>
      </c>
      <c r="O22" s="66"/>
      <c r="P22" s="77">
        <v>0</v>
      </c>
      <c r="Q22" s="77">
        <v>0</v>
      </c>
      <c r="R22" s="77">
        <v>0</v>
      </c>
      <c r="S22" s="77">
        <v>0</v>
      </c>
      <c r="U22" s="77">
        <f t="shared" si="3"/>
        <v>0</v>
      </c>
      <c r="W22" s="77">
        <v>0</v>
      </c>
      <c r="X22" s="77">
        <v>0</v>
      </c>
      <c r="Y22" s="77">
        <v>0</v>
      </c>
      <c r="Z22" s="77">
        <v>0</v>
      </c>
      <c r="AB22" s="77">
        <f t="shared" si="2"/>
        <v>0</v>
      </c>
      <c r="AD22" s="77">
        <v>0</v>
      </c>
      <c r="AE22" s="77">
        <v>0</v>
      </c>
      <c r="AF22" s="77">
        <v>0</v>
      </c>
      <c r="AH22" s="77">
        <f t="shared" si="4"/>
        <v>0</v>
      </c>
    </row>
    <row r="23" spans="1:34" s="51" customFormat="1" ht="16.75">
      <c r="A23" s="48" t="s">
        <v>116</v>
      </c>
      <c r="B23" s="77">
        <v>1.425</v>
      </c>
      <c r="C23" s="77">
        <v>0.45200000000000001</v>
      </c>
      <c r="D23" s="77">
        <v>1.4330000000000001</v>
      </c>
      <c r="E23" s="77">
        <v>1.365</v>
      </c>
      <c r="F23" s="78"/>
      <c r="G23" s="77">
        <f t="shared" si="0"/>
        <v>4.6749999999999998</v>
      </c>
      <c r="H23" s="78"/>
      <c r="I23" s="77">
        <v>0</v>
      </c>
      <c r="J23" s="77">
        <v>0</v>
      </c>
      <c r="K23" s="77">
        <v>0</v>
      </c>
      <c r="L23" s="77">
        <v>0</v>
      </c>
      <c r="M23" s="78"/>
      <c r="N23" s="77">
        <f t="shared" si="1"/>
        <v>0</v>
      </c>
      <c r="O23" s="66"/>
      <c r="P23" s="77">
        <v>0</v>
      </c>
      <c r="Q23" s="77">
        <v>0</v>
      </c>
      <c r="R23" s="77">
        <v>0</v>
      </c>
      <c r="S23" s="77">
        <v>0</v>
      </c>
      <c r="U23" s="77">
        <f t="shared" si="3"/>
        <v>0</v>
      </c>
      <c r="W23" s="77">
        <v>0</v>
      </c>
      <c r="X23" s="77">
        <v>0</v>
      </c>
      <c r="Y23" s="77">
        <v>0</v>
      </c>
      <c r="Z23" s="77">
        <v>0</v>
      </c>
      <c r="AB23" s="77">
        <f t="shared" si="2"/>
        <v>0</v>
      </c>
      <c r="AD23" s="77">
        <v>0</v>
      </c>
      <c r="AE23" s="77">
        <v>0</v>
      </c>
      <c r="AF23" s="77">
        <v>0</v>
      </c>
      <c r="AH23" s="77">
        <f t="shared" si="4"/>
        <v>0</v>
      </c>
    </row>
    <row r="24" spans="1:34" s="51" customFormat="1" ht="16.75">
      <c r="A24" s="48" t="s">
        <v>117</v>
      </c>
      <c r="B24" s="74">
        <v>-0.54300000000000004</v>
      </c>
      <c r="C24" s="74">
        <v>0.25</v>
      </c>
      <c r="D24" s="74">
        <v>-0.121</v>
      </c>
      <c r="E24" s="74">
        <v>-0.40500000000000003</v>
      </c>
      <c r="F24" s="78"/>
      <c r="G24" s="74">
        <f t="shared" si="0"/>
        <v>-0.81900000000000006</v>
      </c>
      <c r="H24" s="78"/>
      <c r="I24" s="74">
        <v>0</v>
      </c>
      <c r="J24" s="74">
        <v>0</v>
      </c>
      <c r="K24" s="74">
        <v>0</v>
      </c>
      <c r="L24" s="74">
        <v>0</v>
      </c>
      <c r="M24" s="78"/>
      <c r="N24" s="74">
        <f t="shared" si="1"/>
        <v>0</v>
      </c>
      <c r="O24" s="66"/>
      <c r="P24" s="74">
        <v>0</v>
      </c>
      <c r="Q24" s="74">
        <v>0</v>
      </c>
      <c r="R24" s="74">
        <v>0</v>
      </c>
      <c r="S24" s="74">
        <v>0</v>
      </c>
      <c r="U24" s="74">
        <f t="shared" si="3"/>
        <v>0</v>
      </c>
      <c r="W24" s="74">
        <v>0</v>
      </c>
      <c r="X24" s="74">
        <v>0</v>
      </c>
      <c r="Y24" s="74">
        <v>0</v>
      </c>
      <c r="Z24" s="74">
        <v>0</v>
      </c>
      <c r="AB24" s="74">
        <f t="shared" si="2"/>
        <v>0</v>
      </c>
      <c r="AD24" s="74">
        <v>0</v>
      </c>
      <c r="AE24" s="74">
        <v>0</v>
      </c>
      <c r="AF24" s="74">
        <v>0</v>
      </c>
      <c r="AH24" s="74">
        <f>SUM(AD24:AF24)</f>
        <v>0</v>
      </c>
    </row>
    <row r="25" spans="1:34" s="51" customFormat="1" ht="16.75">
      <c r="A25" s="46" t="s">
        <v>118</v>
      </c>
      <c r="B25" s="55">
        <f>SUM(B16:B24)+B14</f>
        <v>125.80700000000002</v>
      </c>
      <c r="C25" s="55">
        <f>SUM(C16:C24)+C14</f>
        <v>146.28700000000001</v>
      </c>
      <c r="D25" s="55">
        <f>SUM(D16:D24)+D14</f>
        <v>151.12400000000002</v>
      </c>
      <c r="E25" s="55">
        <f>SUM(E16:E24)+E14</f>
        <v>157.59199999999998</v>
      </c>
      <c r="F25" s="128"/>
      <c r="G25" s="55">
        <f t="shared" si="0"/>
        <v>580.81000000000006</v>
      </c>
      <c r="H25" s="128"/>
      <c r="I25" s="55">
        <f>SUM(I16:I24)+I14</f>
        <v>135.81399999999999</v>
      </c>
      <c r="J25" s="55">
        <f>SUM(J16:J24)+J14</f>
        <v>149.02499999999998</v>
      </c>
      <c r="K25" s="55">
        <f>SUM(K16:K24)+K14</f>
        <v>161.18899999999999</v>
      </c>
      <c r="L25" s="55">
        <f>SUM(L16:L24)+L14</f>
        <v>160.14699999999999</v>
      </c>
      <c r="M25" s="128"/>
      <c r="N25" s="55">
        <f t="shared" si="1"/>
        <v>606.17499999999995</v>
      </c>
      <c r="O25" s="66"/>
      <c r="P25" s="55">
        <f>SUM(P16:P24)+P14</f>
        <v>147.90699999999998</v>
      </c>
      <c r="Q25" s="55">
        <f>SUM(Q16:Q24)+Q14</f>
        <v>153.79300000000001</v>
      </c>
      <c r="R25" s="55">
        <f>SUM(R16:R24)+R14</f>
        <v>160.691</v>
      </c>
      <c r="S25" s="55">
        <f>SUM(S16:S24)+S14</f>
        <v>169.26400000000001</v>
      </c>
      <c r="U25" s="55">
        <f t="shared" si="3"/>
        <v>631.65499999999997</v>
      </c>
      <c r="W25" s="55">
        <f>SUM(W16:W24)+W14</f>
        <v>151.50500000000002</v>
      </c>
      <c r="X25" s="55">
        <f>SUM(X16:X24)+X14</f>
        <v>146.30099999999999</v>
      </c>
      <c r="Y25" s="55">
        <f>SUM(Y16:Y24)+Y14</f>
        <v>155.86000000000001</v>
      </c>
      <c r="Z25" s="55">
        <f>SUM(Z16:Z24)+Z14</f>
        <v>198.20299999999997</v>
      </c>
      <c r="AA25" s="217"/>
      <c r="AB25" s="55">
        <f>SUM(AB16:AB24)+AB14</f>
        <v>651.86900000000003</v>
      </c>
      <c r="AD25" s="55">
        <f>SUM(AD16:AD24)+AD14</f>
        <v>160.13800000000001</v>
      </c>
      <c r="AE25" s="55">
        <f>SUM(AE16:AE24)+AE14</f>
        <v>149.65800000000002</v>
      </c>
      <c r="AF25" s="55">
        <f>SUM(AF16:AF24)+AF14</f>
        <v>161.31099999999998</v>
      </c>
      <c r="AH25" s="55">
        <f>SUM(AH16:AH24)+AH14</f>
        <v>471.10699999999997</v>
      </c>
    </row>
    <row r="26" spans="1:34" s="51" customFormat="1" ht="16.75">
      <c r="A26" s="46" t="s">
        <v>119</v>
      </c>
      <c r="B26" s="75">
        <v>0.66500000000000004</v>
      </c>
      <c r="C26" s="75">
        <v>0.70599999999999996</v>
      </c>
      <c r="D26" s="75">
        <v>0.69499999999999995</v>
      </c>
      <c r="E26" s="75">
        <v>0.69499999999999995</v>
      </c>
      <c r="F26" s="152"/>
      <c r="G26" s="75">
        <v>0.69099999999999995</v>
      </c>
      <c r="H26" s="152"/>
      <c r="I26" s="75">
        <v>0.67300000000000004</v>
      </c>
      <c r="J26" s="75">
        <v>0.69099999999999995</v>
      </c>
      <c r="K26" s="75">
        <v>0.71</v>
      </c>
      <c r="L26" s="75">
        <v>0.67800000000000005</v>
      </c>
      <c r="M26" s="152"/>
      <c r="N26" s="75">
        <v>0.68799999999999994</v>
      </c>
      <c r="O26" s="66"/>
      <c r="P26" s="75">
        <v>0.67500000000000004</v>
      </c>
      <c r="Q26" s="75">
        <v>0.68799999999999994</v>
      </c>
      <c r="R26" s="75">
        <v>0.71199999999999997</v>
      </c>
      <c r="S26" s="75">
        <v>0.71499999999999997</v>
      </c>
      <c r="U26" s="75">
        <v>0.69799999999999995</v>
      </c>
      <c r="W26" s="75">
        <v>0.69799999999999995</v>
      </c>
      <c r="X26" s="75">
        <v>0.69499999999999995</v>
      </c>
      <c r="Y26" s="75">
        <v>0.71299999999999997</v>
      </c>
      <c r="Z26" s="75">
        <v>0.747</v>
      </c>
      <c r="AB26" s="75">
        <v>0.71499999999999997</v>
      </c>
      <c r="AD26" s="75">
        <v>0.72399999999999998</v>
      </c>
      <c r="AE26" s="75">
        <v>0.71199999999999997</v>
      </c>
      <c r="AF26" s="75">
        <v>0.72</v>
      </c>
      <c r="AH26" s="75">
        <v>0.71899999999999997</v>
      </c>
    </row>
    <row r="27" spans="1:34">
      <c r="W27" s="61"/>
      <c r="X27" s="61"/>
      <c r="Y27" s="61"/>
      <c r="Z27" s="61"/>
      <c r="AD27" s="61"/>
      <c r="AE27" s="61"/>
      <c r="AF27" s="61"/>
    </row>
    <row r="28" spans="1:34">
      <c r="W28" s="61"/>
      <c r="X28" s="61"/>
      <c r="Y28" s="61"/>
      <c r="Z28" s="61"/>
      <c r="AD28" s="61"/>
      <c r="AE28" s="61"/>
      <c r="AF28" s="61"/>
    </row>
    <row r="29" spans="1:34" ht="16.75">
      <c r="A29" s="70" t="s">
        <v>120</v>
      </c>
      <c r="W29" s="61"/>
      <c r="X29" s="61"/>
      <c r="Y29" s="61"/>
      <c r="Z29" s="61"/>
      <c r="AD29" s="61"/>
      <c r="AE29" s="61"/>
      <c r="AF29" s="61"/>
    </row>
    <row r="30" spans="1:34" ht="16.75">
      <c r="A30" s="48" t="s">
        <v>121</v>
      </c>
      <c r="B30" s="65">
        <f>'Revenue Metrics Reconciliation'!C6</f>
        <v>129.07</v>
      </c>
      <c r="C30" s="65">
        <f>'Revenue Metrics Reconciliation'!D6</f>
        <v>139.267</v>
      </c>
      <c r="D30" s="65">
        <f>'Revenue Metrics Reconciliation'!E6</f>
        <v>150.233</v>
      </c>
      <c r="E30" s="65">
        <f>'Revenue Metrics Reconciliation'!F6</f>
        <v>157.05400000000003</v>
      </c>
      <c r="F30" s="146"/>
      <c r="G30" s="65">
        <f>+B30+C30+D30+E30</f>
        <v>575.62400000000002</v>
      </c>
      <c r="H30" s="146"/>
      <c r="I30" s="65">
        <f>'Revenue Metrics Reconciliation'!J6</f>
        <v>144.453</v>
      </c>
      <c r="J30" s="65">
        <f>'Revenue Metrics Reconciliation'!K6</f>
        <v>156.178</v>
      </c>
      <c r="K30" s="65">
        <f>'Revenue Metrics Reconciliation'!L6</f>
        <v>158.81100000000001</v>
      </c>
      <c r="L30" s="65">
        <f>'Revenue Metrics Reconciliation'!M6</f>
        <v>173.68700000000001</v>
      </c>
      <c r="M30" s="146"/>
      <c r="N30" s="65">
        <f>+I30+J30+K30+L30</f>
        <v>633.12900000000002</v>
      </c>
      <c r="P30" s="65">
        <f>'Revenue Metrics Reconciliation'!Q6</f>
        <v>159.36699999999999</v>
      </c>
      <c r="Q30" s="65">
        <f>'Revenue Metrics Reconciliation'!R6</f>
        <v>166.44</v>
      </c>
      <c r="R30" s="65">
        <f>'Revenue Metrics Reconciliation'!S6</f>
        <v>174.22200000000001</v>
      </c>
      <c r="S30" s="65">
        <f>'Revenue Metrics Reconciliation'!T6</f>
        <v>185.50799999999998</v>
      </c>
      <c r="U30" s="65">
        <f>SUM(P30:T30)</f>
        <v>685.53700000000003</v>
      </c>
      <c r="W30" s="65">
        <f>'Revenue Metrics Reconciliation'!X6</f>
        <v>166.43900000000002</v>
      </c>
      <c r="X30" s="65">
        <f>'Revenue Metrics Reconciliation'!Y6</f>
        <v>160.999</v>
      </c>
      <c r="Y30" s="65">
        <f>'Revenue Metrics Reconciliation'!Z6</f>
        <v>161.11700000000002</v>
      </c>
      <c r="Z30" s="65">
        <f>'Revenue Metrics Reconciliation'!AA6</f>
        <v>210.69299999999998</v>
      </c>
      <c r="AB30" s="65">
        <f>W30+X30+Y30+Z30</f>
        <v>699.24800000000005</v>
      </c>
      <c r="AD30" s="65">
        <f>'Recurring Summary'!AZ6</f>
        <v>173.52800000000002</v>
      </c>
      <c r="AE30" s="65">
        <f>'Recurring Summary'!BB6</f>
        <v>163.22900000000001</v>
      </c>
      <c r="AF30" s="65">
        <f>'Recurring Summary'!BD6</f>
        <v>179.85799999999998</v>
      </c>
      <c r="AH30" s="65">
        <f>SUM(AD30:AF30)</f>
        <v>516.61500000000001</v>
      </c>
    </row>
    <row r="31" spans="1:34" ht="16.75">
      <c r="A31" s="48" t="s">
        <v>122</v>
      </c>
      <c r="B31" s="74">
        <f>B9</f>
        <v>34.927999999999997</v>
      </c>
      <c r="C31" s="74">
        <f>C9</f>
        <v>32.936</v>
      </c>
      <c r="D31" s="74">
        <f>D9</f>
        <v>35.387999999999998</v>
      </c>
      <c r="E31" s="74">
        <f>E9</f>
        <v>35.792000000000002</v>
      </c>
      <c r="F31" s="78"/>
      <c r="G31" s="74">
        <f>+B31+C31+D31+E31</f>
        <v>139.04400000000001</v>
      </c>
      <c r="H31" s="78"/>
      <c r="I31" s="74">
        <f>I9</f>
        <v>38.076000000000001</v>
      </c>
      <c r="J31" s="74">
        <f>J9</f>
        <v>37.636000000000003</v>
      </c>
      <c r="K31" s="74">
        <f>K9</f>
        <v>36.811</v>
      </c>
      <c r="L31" s="74">
        <f>L9</f>
        <v>44.045999999999999</v>
      </c>
      <c r="M31" s="78"/>
      <c r="N31" s="74">
        <f>+I31+J31+K31+L31</f>
        <v>156.56899999999999</v>
      </c>
      <c r="P31" s="74">
        <f>P9</f>
        <v>41.027999999999999</v>
      </c>
      <c r="Q31" s="74">
        <f>Q9</f>
        <v>40.851999999999997</v>
      </c>
      <c r="R31" s="74">
        <f>R9</f>
        <v>38.834000000000003</v>
      </c>
      <c r="S31" s="74">
        <f>S9</f>
        <v>41.633000000000003</v>
      </c>
      <c r="U31" s="74">
        <f>SUM(P31:T31)</f>
        <v>162.34700000000001</v>
      </c>
      <c r="W31" s="74">
        <f>W9</f>
        <v>39.643000000000001</v>
      </c>
      <c r="X31" s="74">
        <f>X9</f>
        <v>39.567</v>
      </c>
      <c r="Y31" s="74">
        <f>Y9</f>
        <v>38.883000000000003</v>
      </c>
      <c r="Z31" s="74">
        <f>Z9</f>
        <v>44.774999999999999</v>
      </c>
      <c r="AB31" s="74">
        <f>W31+X31+Y31+Z31</f>
        <v>162.86800000000002</v>
      </c>
      <c r="AD31" s="74">
        <f>AD9</f>
        <v>35.923000000000002</v>
      </c>
      <c r="AE31" s="74">
        <f>AE9</f>
        <v>36.302999999999997</v>
      </c>
      <c r="AF31" s="74">
        <f>AF9</f>
        <v>38.741999999999997</v>
      </c>
      <c r="AH31" s="74">
        <f>AH9</f>
        <v>110.96799999999999</v>
      </c>
    </row>
    <row r="32" spans="1:34" ht="16.75">
      <c r="A32" s="44" t="s">
        <v>123</v>
      </c>
      <c r="B32" s="86">
        <f>+B30-B31</f>
        <v>94.141999999999996</v>
      </c>
      <c r="C32" s="86">
        <f>+C30-C31</f>
        <v>106.33099999999999</v>
      </c>
      <c r="D32" s="86">
        <f>+D30-D31</f>
        <v>114.845</v>
      </c>
      <c r="E32" s="86">
        <f>+E30-E31</f>
        <v>121.26200000000003</v>
      </c>
      <c r="F32" s="144"/>
      <c r="G32" s="86">
        <f>+B32+C32+D32+E32</f>
        <v>436.58000000000004</v>
      </c>
      <c r="H32" s="144"/>
      <c r="I32" s="86">
        <f>+I30-I31</f>
        <v>106.37700000000001</v>
      </c>
      <c r="J32" s="86">
        <f>+J30-J31</f>
        <v>118.542</v>
      </c>
      <c r="K32" s="86">
        <f>+K30-K31</f>
        <v>122</v>
      </c>
      <c r="L32" s="86">
        <f>+L30-L31</f>
        <v>129.64100000000002</v>
      </c>
      <c r="M32" s="144"/>
      <c r="N32" s="86">
        <f>+I32+J32+K32+L32</f>
        <v>476.56</v>
      </c>
      <c r="P32" s="86">
        <f>+P30-P31</f>
        <v>118.339</v>
      </c>
      <c r="Q32" s="86">
        <f>+Q30-Q31</f>
        <v>125.58799999999999</v>
      </c>
      <c r="R32" s="86">
        <f>+R30-R31</f>
        <v>135.38800000000001</v>
      </c>
      <c r="S32" s="86">
        <f>+S30-S31</f>
        <v>143.87499999999997</v>
      </c>
      <c r="U32" s="86">
        <f>SUM(P32:T32)</f>
        <v>523.18999999999994</v>
      </c>
      <c r="W32" s="86">
        <f>+W30-W31</f>
        <v>126.79600000000002</v>
      </c>
      <c r="X32" s="86">
        <f>+X30-X31</f>
        <v>121.43199999999999</v>
      </c>
      <c r="Y32" s="86">
        <f>+Y30-Y31</f>
        <v>122.23400000000001</v>
      </c>
      <c r="Z32" s="86">
        <f>+Z30-Z31</f>
        <v>165.91799999999998</v>
      </c>
      <c r="AB32" s="86">
        <f>W32+X32+Y32+Z32</f>
        <v>536.38</v>
      </c>
      <c r="AD32" s="86">
        <f>+AD30-AD31</f>
        <v>137.60500000000002</v>
      </c>
      <c r="AE32" s="86">
        <f>+AE30-AE31</f>
        <v>126.92600000000002</v>
      </c>
      <c r="AF32" s="86">
        <f>+AF30-AF31</f>
        <v>141.11599999999999</v>
      </c>
      <c r="AH32" s="86">
        <f>+AH30-AH31</f>
        <v>405.64700000000005</v>
      </c>
    </row>
    <row r="33" spans="1:34" ht="16.75">
      <c r="A33" s="44" t="s">
        <v>124</v>
      </c>
      <c r="B33" s="75">
        <f>B32/'Revenue Metrics Reconciliation'!C6</f>
        <v>0.72938715425737977</v>
      </c>
      <c r="C33" s="75">
        <f>C32/'Revenue Metrics Reconciliation'!D6</f>
        <v>0.76350463498172572</v>
      </c>
      <c r="D33" s="75">
        <f>D32/'Revenue Metrics Reconciliation'!E6</f>
        <v>0.76444589404458407</v>
      </c>
      <c r="E33" s="75">
        <f>E32/'Revenue Metrics Reconciliation'!F6</f>
        <v>0.77210386236581052</v>
      </c>
      <c r="F33" s="152"/>
      <c r="G33" s="75">
        <f>G32/'Revenue Metrics Reconciliation'!H6</f>
        <v>0.75844648590051844</v>
      </c>
      <c r="H33" s="152"/>
      <c r="I33" s="75">
        <f>I32/'Revenue Metrics Reconciliation'!J6</f>
        <v>0.73641253556520114</v>
      </c>
      <c r="J33" s="75">
        <f>J32/'Revenue Metrics Reconciliation'!K6</f>
        <v>0.75901855575048982</v>
      </c>
      <c r="K33" s="75">
        <f>K32/'Revenue Metrics Reconciliation'!L6</f>
        <v>0.7682087512829715</v>
      </c>
      <c r="L33" s="75">
        <f>L32/'Revenue Metrics Reconciliation'!M6</f>
        <v>0.74640589105690125</v>
      </c>
      <c r="M33" s="152"/>
      <c r="N33" s="75">
        <f>N32/'Revenue Metrics Reconciliation'!O6</f>
        <v>0.75270600462149106</v>
      </c>
      <c r="P33" s="75">
        <f>P32/'Revenue Metrics Reconciliation'!Q6</f>
        <v>0.74255648911004168</v>
      </c>
      <c r="Q33" s="75">
        <f>Q32/'Revenue Metrics Reconciliation'!R6</f>
        <v>0.75455419370343668</v>
      </c>
      <c r="R33" s="75">
        <f>R32/'Revenue Metrics Reconciliation'!S6</f>
        <v>0.77710048099551143</v>
      </c>
      <c r="S33" s="75">
        <f>S32/'Revenue Metrics Reconciliation'!T6</f>
        <v>0.77557302110960169</v>
      </c>
      <c r="U33" s="75">
        <f>U32/'Revenue Metrics Reconciliation'!V6</f>
        <v>0.76318273120196267</v>
      </c>
      <c r="W33" s="75">
        <f>W32/'Revenue Metrics Reconciliation'!X6</f>
        <v>0.76181664153233319</v>
      </c>
      <c r="X33" s="75">
        <f>X32/'Revenue Metrics Reconciliation'!Y6</f>
        <v>0.75424070956962463</v>
      </c>
      <c r="Y33" s="75">
        <f>Y32/'Revenue Metrics Reconciliation'!Z6</f>
        <v>0.75866606255081703</v>
      </c>
      <c r="Z33" s="75">
        <f>Z32/'Revenue Metrics Reconciliation'!AA6</f>
        <v>0.78748700716207942</v>
      </c>
      <c r="AA33" s="218"/>
      <c r="AB33" s="75">
        <f>AB32/'Revenue Metrics Reconciliation'!AC6</f>
        <v>0.76708120723977757</v>
      </c>
      <c r="AD33" s="75">
        <f>AD32/AD30</f>
        <v>0.79298441750034576</v>
      </c>
      <c r="AE33" s="75">
        <f>AE32/AE30</f>
        <v>0.7775946676142107</v>
      </c>
      <c r="AF33" s="75">
        <f>AF32/AF30</f>
        <v>0.78459673742619185</v>
      </c>
      <c r="AH33" s="75">
        <f>AH32/AH30</f>
        <v>0.78520174598104975</v>
      </c>
    </row>
    <row r="34" spans="1:34">
      <c r="W34" s="61"/>
      <c r="X34" s="61"/>
      <c r="Y34" s="61"/>
      <c r="Z34" s="61"/>
      <c r="AD34" s="61"/>
      <c r="AE34" s="61"/>
      <c r="AF34" s="61"/>
    </row>
    <row r="35" spans="1:34" ht="16.75">
      <c r="A35" s="51" t="s">
        <v>125</v>
      </c>
      <c r="B35" s="77">
        <f>B16</f>
        <v>3.2620000000000005</v>
      </c>
      <c r="C35" s="77">
        <f>C16</f>
        <v>3.0660000000000309</v>
      </c>
      <c r="D35" s="77">
        <f>D16</f>
        <v>2.2270000000000039</v>
      </c>
      <c r="E35" s="77">
        <f>E16</f>
        <v>1.7809999999999491</v>
      </c>
      <c r="F35" s="78"/>
      <c r="G35" s="77">
        <f t="shared" ref="G35:G43" si="5">+B35+C35+D35+E35</f>
        <v>10.335999999999984</v>
      </c>
      <c r="H35" s="78"/>
      <c r="I35" s="77">
        <v>1.0389999999999999</v>
      </c>
      <c r="J35" s="77">
        <v>1.0129999999999999</v>
      </c>
      <c r="K35" s="77">
        <v>2.1080000000000001</v>
      </c>
      <c r="L35" s="77">
        <v>2.0110000000000001</v>
      </c>
      <c r="M35" s="78"/>
      <c r="N35" s="77">
        <f t="shared" ref="N35:N43" si="6">+I35+J35+K35+L35</f>
        <v>6.1710000000000003</v>
      </c>
      <c r="P35" s="77">
        <v>1.343</v>
      </c>
      <c r="Q35" s="77">
        <v>0.73199999999999998</v>
      </c>
      <c r="R35" s="77">
        <v>0.42299999999999999</v>
      </c>
      <c r="S35" s="77">
        <v>0.504</v>
      </c>
      <c r="U35" s="77">
        <f t="shared" ref="U35:U43" si="7">SUM(P35:T35)</f>
        <v>3.0020000000000002</v>
      </c>
      <c r="W35" s="77">
        <v>0.627</v>
      </c>
      <c r="X35" s="77">
        <v>0.24199999999999999</v>
      </c>
      <c r="Y35" s="77">
        <v>0.12</v>
      </c>
      <c r="Z35" s="77">
        <v>0.111</v>
      </c>
      <c r="AB35" s="77">
        <f t="shared" ref="AB35:AB42" si="8">W35+X35+Y35+Z35</f>
        <v>1.1000000000000001</v>
      </c>
      <c r="AD35" s="77">
        <v>0</v>
      </c>
      <c r="AE35" s="77">
        <v>0</v>
      </c>
      <c r="AF35" s="77">
        <v>0</v>
      </c>
      <c r="AH35" s="77">
        <f>SUM(AD35:AF35)</f>
        <v>0</v>
      </c>
    </row>
    <row r="36" spans="1:34" ht="16.75">
      <c r="A36" s="51" t="s">
        <v>126</v>
      </c>
      <c r="B36" s="77">
        <v>0.26500000000000001</v>
      </c>
      <c r="C36" s="77">
        <v>0.47199999999999998</v>
      </c>
      <c r="D36" s="77">
        <v>0.58399999999999996</v>
      </c>
      <c r="E36" s="77">
        <v>-0.21199999999999999</v>
      </c>
      <c r="F36" s="78"/>
      <c r="G36" s="77">
        <f t="shared" si="5"/>
        <v>1.109</v>
      </c>
      <c r="H36" s="78"/>
      <c r="I36" s="77">
        <v>0.42899999999999999</v>
      </c>
      <c r="J36" s="77">
        <v>0.56200000000000006</v>
      </c>
      <c r="K36" s="77">
        <v>0.54</v>
      </c>
      <c r="L36" s="77">
        <v>0.46800000000000003</v>
      </c>
      <c r="M36" s="78"/>
      <c r="N36" s="77">
        <f t="shared" si="6"/>
        <v>1.9990000000000001</v>
      </c>
      <c r="P36" s="77">
        <v>0.52500000000000002</v>
      </c>
      <c r="Q36" s="77">
        <v>0.93300000000000005</v>
      </c>
      <c r="R36" s="77">
        <v>0.72899999999999998</v>
      </c>
      <c r="S36" s="77">
        <v>0.66900000000000004</v>
      </c>
      <c r="U36" s="77">
        <f t="shared" si="7"/>
        <v>2.8560000000000003</v>
      </c>
      <c r="W36" s="77">
        <v>0.29599999999999999</v>
      </c>
      <c r="X36" s="77">
        <v>0.68600000000000005</v>
      </c>
      <c r="Y36" s="77">
        <v>0.52300000000000002</v>
      </c>
      <c r="Z36" s="77">
        <v>0.60899999999999999</v>
      </c>
      <c r="AB36" s="77">
        <f t="shared" si="8"/>
        <v>2.1139999999999999</v>
      </c>
      <c r="AD36" s="77">
        <v>0.54900000000000004</v>
      </c>
      <c r="AE36" s="77">
        <v>1.143</v>
      </c>
      <c r="AF36" s="77">
        <v>0.54200000000000004</v>
      </c>
      <c r="AH36" s="77">
        <f>SUM(AD36:AF36)</f>
        <v>2.234</v>
      </c>
    </row>
    <row r="37" spans="1:34" ht="16.75">
      <c r="A37" s="51" t="s">
        <v>127</v>
      </c>
      <c r="B37" s="77">
        <v>2.8000000000000001E-2</v>
      </c>
      <c r="C37" s="77">
        <v>2.5999999999999999E-2</v>
      </c>
      <c r="D37" s="77">
        <v>7.6999999999999999E-2</v>
      </c>
      <c r="E37" s="77">
        <v>1.5E-3</v>
      </c>
      <c r="F37" s="78"/>
      <c r="G37" s="77">
        <f t="shared" si="5"/>
        <v>0.13250000000000001</v>
      </c>
      <c r="H37" s="78"/>
      <c r="I37" s="77">
        <v>2.5000000000000001E-2</v>
      </c>
      <c r="J37" s="77">
        <v>2.5000000000000001E-2</v>
      </c>
      <c r="K37" s="77">
        <v>0.03</v>
      </c>
      <c r="L37" s="77">
        <v>3.6999999999999998E-2</v>
      </c>
      <c r="M37" s="78"/>
      <c r="N37" s="77">
        <f t="shared" si="6"/>
        <v>0.11699999999999999</v>
      </c>
      <c r="P37" s="77">
        <v>2.1999999999999999E-2</v>
      </c>
      <c r="Q37" s="77">
        <v>0</v>
      </c>
      <c r="R37" s="77">
        <v>0</v>
      </c>
      <c r="S37" s="77">
        <v>0</v>
      </c>
      <c r="U37" s="77">
        <f t="shared" si="7"/>
        <v>2.1999999999999999E-2</v>
      </c>
      <c r="W37" s="77">
        <v>5.6000000000000001E-2</v>
      </c>
      <c r="X37" s="77">
        <v>0.26600000000000001</v>
      </c>
      <c r="Y37" s="77">
        <v>3.1E-2</v>
      </c>
      <c r="Z37" s="77">
        <v>-0.23599999999999999</v>
      </c>
      <c r="AB37" s="77">
        <f t="shared" si="8"/>
        <v>0.11699999999999999</v>
      </c>
      <c r="AD37" s="77">
        <v>0</v>
      </c>
      <c r="AE37" s="77">
        <v>0</v>
      </c>
      <c r="AF37" s="77">
        <v>3.7999999999999999E-2</v>
      </c>
      <c r="AH37" s="77">
        <f t="shared" ref="AH37:AH41" si="9">SUM(AD37:AF37)</f>
        <v>3.7999999999999999E-2</v>
      </c>
    </row>
    <row r="38" spans="1:34" ht="16.75">
      <c r="A38" s="51" t="s">
        <v>128</v>
      </c>
      <c r="B38" s="77">
        <v>0.78100000000000003</v>
      </c>
      <c r="C38" s="77">
        <v>2E-3</v>
      </c>
      <c r="D38" s="77">
        <v>0.11899999999999999</v>
      </c>
      <c r="E38" s="77">
        <v>0.1</v>
      </c>
      <c r="F38" s="78"/>
      <c r="G38" s="77">
        <f t="shared" si="5"/>
        <v>1.002</v>
      </c>
      <c r="H38" s="78"/>
      <c r="I38" s="77">
        <v>0.35299999999999998</v>
      </c>
      <c r="J38" s="77">
        <v>9.0999999999999998E-2</v>
      </c>
      <c r="K38" s="77">
        <v>3.5000000000000003E-2</v>
      </c>
      <c r="L38" s="77">
        <f>0.052</f>
        <v>5.1999999999999998E-2</v>
      </c>
      <c r="M38" s="78"/>
      <c r="N38" s="77">
        <f t="shared" si="6"/>
        <v>0.53100000000000003</v>
      </c>
      <c r="P38" s="77">
        <v>0.111</v>
      </c>
      <c r="Q38" s="77">
        <v>1.7999999999999999E-2</v>
      </c>
      <c r="R38" s="77">
        <v>0.45900000000000002</v>
      </c>
      <c r="S38" s="77">
        <v>0.67700000000000005</v>
      </c>
      <c r="U38" s="77">
        <f t="shared" si="7"/>
        <v>1.2650000000000001</v>
      </c>
      <c r="W38" s="77">
        <v>0.105</v>
      </c>
      <c r="X38" s="77">
        <v>0.84199999999999997</v>
      </c>
      <c r="Y38" s="77">
        <v>-1.4E-2</v>
      </c>
      <c r="Z38" s="77">
        <v>4.0759999999999996</v>
      </c>
      <c r="AB38" s="77">
        <f t="shared" si="8"/>
        <v>5.0089999999999995</v>
      </c>
      <c r="AD38" s="77">
        <v>7.0000000000000001E-3</v>
      </c>
      <c r="AE38" s="77">
        <v>-1E-3</v>
      </c>
      <c r="AF38" s="77">
        <v>0.02</v>
      </c>
      <c r="AH38" s="77">
        <f t="shared" si="9"/>
        <v>2.6000000000000002E-2</v>
      </c>
    </row>
    <row r="39" spans="1:34" ht="16.75">
      <c r="A39" s="51" t="s">
        <v>129</v>
      </c>
      <c r="B39" s="77">
        <f>B21</f>
        <v>0</v>
      </c>
      <c r="C39" s="77">
        <v>0</v>
      </c>
      <c r="D39" s="77">
        <v>0</v>
      </c>
      <c r="E39" s="77">
        <v>0</v>
      </c>
      <c r="F39" s="78"/>
      <c r="G39" s="77">
        <f t="shared" si="5"/>
        <v>0</v>
      </c>
      <c r="H39" s="78"/>
      <c r="I39" s="77">
        <v>3.2000000000000001E-2</v>
      </c>
      <c r="J39" s="77">
        <v>0</v>
      </c>
      <c r="K39" s="77">
        <v>0</v>
      </c>
      <c r="L39" s="77">
        <v>0</v>
      </c>
      <c r="M39" s="78"/>
      <c r="N39" s="77">
        <f t="shared" si="6"/>
        <v>3.2000000000000001E-2</v>
      </c>
      <c r="P39" s="77">
        <v>0</v>
      </c>
      <c r="Q39" s="77">
        <v>0</v>
      </c>
      <c r="R39" s="77">
        <v>0</v>
      </c>
      <c r="S39" s="77">
        <v>0</v>
      </c>
      <c r="U39" s="77">
        <f t="shared" si="7"/>
        <v>0</v>
      </c>
      <c r="W39" s="77">
        <v>0</v>
      </c>
      <c r="X39" s="77">
        <v>0</v>
      </c>
      <c r="Y39" s="77">
        <v>0</v>
      </c>
      <c r="Z39" s="77">
        <v>0</v>
      </c>
      <c r="AB39" s="77">
        <f t="shared" si="8"/>
        <v>0</v>
      </c>
      <c r="AD39" s="77">
        <v>0</v>
      </c>
      <c r="AE39" s="77">
        <v>0</v>
      </c>
      <c r="AF39" s="77">
        <v>0</v>
      </c>
      <c r="AH39" s="77">
        <f t="shared" si="9"/>
        <v>0</v>
      </c>
    </row>
    <row r="40" spans="1:34" ht="16.75">
      <c r="A40" s="51" t="s">
        <v>130</v>
      </c>
      <c r="B40" s="77">
        <v>0</v>
      </c>
      <c r="C40" s="77">
        <v>0</v>
      </c>
      <c r="D40" s="77">
        <v>0</v>
      </c>
      <c r="E40" s="77">
        <v>0</v>
      </c>
      <c r="F40" s="78"/>
      <c r="G40" s="77">
        <f t="shared" si="5"/>
        <v>0</v>
      </c>
      <c r="H40" s="78"/>
      <c r="I40" s="77">
        <v>0</v>
      </c>
      <c r="J40" s="77">
        <v>0</v>
      </c>
      <c r="K40" s="77">
        <v>0</v>
      </c>
      <c r="L40" s="77">
        <v>0</v>
      </c>
      <c r="M40" s="78"/>
      <c r="N40" s="77">
        <f t="shared" si="6"/>
        <v>0</v>
      </c>
      <c r="P40" s="77">
        <v>0</v>
      </c>
      <c r="Q40" s="77">
        <v>0</v>
      </c>
      <c r="R40" s="77">
        <v>0</v>
      </c>
      <c r="S40" s="77">
        <v>0</v>
      </c>
      <c r="U40" s="77">
        <f t="shared" si="7"/>
        <v>0</v>
      </c>
      <c r="W40" s="77">
        <v>0</v>
      </c>
      <c r="X40" s="77">
        <v>0</v>
      </c>
      <c r="Y40" s="77">
        <v>0</v>
      </c>
      <c r="Z40" s="77">
        <v>0</v>
      </c>
      <c r="AB40" s="77">
        <f t="shared" si="8"/>
        <v>0</v>
      </c>
      <c r="AD40" s="77">
        <v>0</v>
      </c>
      <c r="AE40" s="77">
        <v>0</v>
      </c>
      <c r="AF40" s="77">
        <v>0</v>
      </c>
      <c r="AH40" s="77">
        <f t="shared" si="9"/>
        <v>0</v>
      </c>
    </row>
    <row r="41" spans="1:34" ht="16.75">
      <c r="A41" s="48" t="s">
        <v>131</v>
      </c>
      <c r="B41" s="77">
        <v>0.224</v>
      </c>
      <c r="C41" s="77">
        <v>0.24099999999999999</v>
      </c>
      <c r="D41" s="77">
        <v>0.33200000000000002</v>
      </c>
      <c r="E41" s="77">
        <v>0.17599999999999999</v>
      </c>
      <c r="F41" s="78"/>
      <c r="G41" s="77">
        <f t="shared" si="5"/>
        <v>0.97299999999999986</v>
      </c>
      <c r="H41" s="78"/>
      <c r="I41" s="77">
        <v>0</v>
      </c>
      <c r="J41" s="77">
        <v>0</v>
      </c>
      <c r="K41" s="77">
        <v>0</v>
      </c>
      <c r="L41" s="77">
        <v>0</v>
      </c>
      <c r="M41" s="78"/>
      <c r="N41" s="77">
        <f t="shared" si="6"/>
        <v>0</v>
      </c>
      <c r="P41" s="77">
        <v>0</v>
      </c>
      <c r="Q41" s="77">
        <v>0</v>
      </c>
      <c r="R41" s="77">
        <v>0</v>
      </c>
      <c r="S41" s="77">
        <v>0</v>
      </c>
      <c r="U41" s="77">
        <f t="shared" si="7"/>
        <v>0</v>
      </c>
      <c r="W41" s="77">
        <v>0</v>
      </c>
      <c r="X41" s="77">
        <v>0</v>
      </c>
      <c r="Y41" s="77">
        <v>0</v>
      </c>
      <c r="Z41" s="77">
        <v>0</v>
      </c>
      <c r="AB41" s="77">
        <f t="shared" si="8"/>
        <v>0</v>
      </c>
      <c r="AD41" s="77">
        <v>0</v>
      </c>
      <c r="AE41" s="77">
        <v>0</v>
      </c>
      <c r="AF41" s="77">
        <v>0</v>
      </c>
      <c r="AH41" s="77">
        <f t="shared" si="9"/>
        <v>0</v>
      </c>
    </row>
    <row r="42" spans="1:34" ht="16.75">
      <c r="A42" s="48" t="s">
        <v>132</v>
      </c>
      <c r="B42" s="74">
        <v>0.20699999999999999</v>
      </c>
      <c r="C42" s="74">
        <v>9.2999999999999999E-2</v>
      </c>
      <c r="D42" s="74">
        <v>0.111</v>
      </c>
      <c r="E42" s="74">
        <v>0.17899999999999999</v>
      </c>
      <c r="F42" s="78"/>
      <c r="G42" s="74">
        <f t="shared" si="5"/>
        <v>0.59</v>
      </c>
      <c r="H42" s="78"/>
      <c r="I42" s="74">
        <v>0</v>
      </c>
      <c r="J42" s="74">
        <v>0</v>
      </c>
      <c r="K42" s="74">
        <v>0</v>
      </c>
      <c r="L42" s="74">
        <v>0</v>
      </c>
      <c r="M42" s="78"/>
      <c r="N42" s="74">
        <f t="shared" si="6"/>
        <v>0</v>
      </c>
      <c r="P42" s="74">
        <v>0</v>
      </c>
      <c r="Q42" s="74">
        <v>0</v>
      </c>
      <c r="R42" s="74">
        <v>0</v>
      </c>
      <c r="S42" s="74">
        <v>0</v>
      </c>
      <c r="U42" s="74">
        <f t="shared" si="7"/>
        <v>0</v>
      </c>
      <c r="W42" s="74">
        <v>0</v>
      </c>
      <c r="X42" s="74">
        <v>0</v>
      </c>
      <c r="Y42" s="74">
        <v>0</v>
      </c>
      <c r="Z42" s="74">
        <v>0</v>
      </c>
      <c r="AB42" s="74">
        <f t="shared" si="8"/>
        <v>0</v>
      </c>
      <c r="AD42" s="74">
        <v>0</v>
      </c>
      <c r="AE42" s="74">
        <v>0</v>
      </c>
      <c r="AF42" s="74">
        <v>0</v>
      </c>
      <c r="AH42" s="74">
        <f>SUM(AD42:AF42)</f>
        <v>0</v>
      </c>
    </row>
    <row r="43" spans="1:34" ht="16.75">
      <c r="A43" s="44" t="s">
        <v>133</v>
      </c>
      <c r="B43" s="55">
        <f>+B32+SUM(B35:B42)</f>
        <v>98.908999999999992</v>
      </c>
      <c r="C43" s="55">
        <f>+C32+SUM(C35:C42)</f>
        <v>110.23100000000002</v>
      </c>
      <c r="D43" s="55">
        <f>+D32+SUM(D35:D42)</f>
        <v>118.295</v>
      </c>
      <c r="E43" s="55">
        <f>+E32+SUM(E35:E42)</f>
        <v>123.28749999999998</v>
      </c>
      <c r="F43" s="128"/>
      <c r="G43" s="55">
        <f t="shared" si="5"/>
        <v>450.72249999999997</v>
      </c>
      <c r="H43" s="128"/>
      <c r="I43" s="55">
        <f>+I32+SUM(I35:I42)</f>
        <v>108.25500000000001</v>
      </c>
      <c r="J43" s="55">
        <f>+J32+SUM(J35:J42)</f>
        <v>120.233</v>
      </c>
      <c r="K43" s="55">
        <f>+K32+SUM(K35:K42)</f>
        <v>124.71299999999999</v>
      </c>
      <c r="L43" s="55">
        <f>+L32+SUM(L35:L42)</f>
        <v>132.20900000000003</v>
      </c>
      <c r="M43" s="128"/>
      <c r="N43" s="55">
        <f t="shared" si="6"/>
        <v>485.41000000000008</v>
      </c>
      <c r="P43" s="55">
        <f>+P32+SUM(P35:P42)</f>
        <v>120.34</v>
      </c>
      <c r="Q43" s="55">
        <f>+Q32+SUM(Q35:Q42)</f>
        <v>127.271</v>
      </c>
      <c r="R43" s="55">
        <f>+R32+SUM(R35:R42)</f>
        <v>136.999</v>
      </c>
      <c r="S43" s="55">
        <f>+S32+SUM(S35:S42)</f>
        <v>145.72499999999997</v>
      </c>
      <c r="U43" s="55">
        <f t="shared" si="7"/>
        <v>530.33500000000004</v>
      </c>
      <c r="W43" s="55">
        <f>+W32+SUM(W35:W42)</f>
        <v>127.88000000000002</v>
      </c>
      <c r="X43" s="55">
        <f>+X32+SUM(X35:X42)</f>
        <v>123.46799999999999</v>
      </c>
      <c r="Y43" s="55">
        <f>+Y32+SUM(Y35:Y42)</f>
        <v>122.89400000000001</v>
      </c>
      <c r="Z43" s="55">
        <f>+Z32+SUM(Z35:Z42)</f>
        <v>170.47799999999998</v>
      </c>
      <c r="AB43" s="55">
        <f>+AB32+SUM(AB35:AB42)</f>
        <v>544.72</v>
      </c>
      <c r="AD43" s="55">
        <f>+AD32+SUM(AD35:AD42)</f>
        <v>138.16100000000003</v>
      </c>
      <c r="AE43" s="55">
        <f>+AE32+SUM(AE35:AE42)</f>
        <v>128.06800000000001</v>
      </c>
      <c r="AF43" s="55">
        <f>+AF32+SUM(AF35:AF42)</f>
        <v>141.71599999999998</v>
      </c>
      <c r="AH43" s="55">
        <f>+AH32+SUM(AH35:AH42)</f>
        <v>407.94500000000005</v>
      </c>
    </row>
    <row r="44" spans="1:34" ht="16.75">
      <c r="A44" s="44" t="s">
        <v>134</v>
      </c>
      <c r="B44" s="75">
        <f>B43/'Revenue Metrics Reconciliation'!C24</f>
        <v>0.74743070459148186</v>
      </c>
      <c r="C44" s="75">
        <f>C43/'Revenue Metrics Reconciliation'!D24</f>
        <v>0.77445848819318097</v>
      </c>
      <c r="D44" s="75">
        <f>D43/'Revenue Metrics Reconciliation'!E24</f>
        <v>0.77590843499934403</v>
      </c>
      <c r="E44" s="75">
        <f>E43/'Revenue Metrics Reconciliation'!F24</f>
        <v>0.77619857084395749</v>
      </c>
      <c r="F44" s="152"/>
      <c r="G44" s="75">
        <f>G43/'Revenue Metrics Reconciliation'!H24</f>
        <v>0.76920352925114344</v>
      </c>
      <c r="H44" s="152"/>
      <c r="I44" s="75">
        <f>I43/'Revenue Metrics Reconciliation'!J24</f>
        <v>0.74406152915624224</v>
      </c>
      <c r="J44" s="75">
        <f>J43/'Revenue Metrics Reconciliation'!K24</f>
        <v>0.76488475803322076</v>
      </c>
      <c r="K44" s="75">
        <f>K43/'Revenue Metrics Reconciliation'!L24</f>
        <v>0.77500481608759686</v>
      </c>
      <c r="L44" s="75">
        <f>L43/'Revenue Metrics Reconciliation'!M24</f>
        <v>0.75247868501633497</v>
      </c>
      <c r="M44" s="152"/>
      <c r="N44" s="75">
        <f>N43/'Revenue Metrics Reconciliation'!O24</f>
        <v>0.75928359142812474</v>
      </c>
      <c r="P44" s="75">
        <f>P43/'Revenue Metrics Reconciliation'!Q24</f>
        <v>0.74880219028062966</v>
      </c>
      <c r="Q44" s="75">
        <f>Q43/'Revenue Metrics Reconciliation'!R24</f>
        <v>0.76131768477974771</v>
      </c>
      <c r="R44" s="75">
        <f>R43/'Revenue Metrics Reconciliation'!S24</f>
        <v>0.78444272667411041</v>
      </c>
      <c r="S44" s="75">
        <f>S43/'Revenue Metrics Reconciliation'!T24</f>
        <v>0.78341719889039396</v>
      </c>
      <c r="U44" s="75">
        <f>U43/'Revenue Metrics Reconciliation'!V24</f>
        <v>0.77023233251856471</v>
      </c>
      <c r="W44" s="75">
        <f>W43/'Revenue Metrics Reconciliation'!X24</f>
        <v>0.76544599140459491</v>
      </c>
      <c r="X44" s="75">
        <f>X43/'Revenue Metrics Reconciliation'!Y24</f>
        <v>0.76573576199601834</v>
      </c>
      <c r="Y44" s="75">
        <f>Y43/'Revenue Metrics Reconciliation'!Z24</f>
        <v>0.76219478159479526</v>
      </c>
      <c r="Z44" s="75">
        <f>Z43/'Revenue Metrics Reconciliation'!AA24</f>
        <v>0.80870381966186577</v>
      </c>
      <c r="AA44" s="218"/>
      <c r="AB44" s="75">
        <f>AB43/'Revenue Metrics Reconciliation'!AC24</f>
        <v>0.77778475843437844</v>
      </c>
      <c r="AD44" s="75">
        <f>AD43/'Recurring Summary'!BA6</f>
        <v>0.79618851136416036</v>
      </c>
      <c r="AE44" s="75">
        <f>AE43/'Recurring Summary'!BC6</f>
        <v>0.78459097341771378</v>
      </c>
      <c r="AF44" s="75">
        <f>AF43/'Recurring Summary'!BE6</f>
        <v>0.78793270246527813</v>
      </c>
      <c r="AH44" s="75">
        <f>AH43/'Recurring Summary'!BH6</f>
        <v>0.78964993273520911</v>
      </c>
    </row>
    <row r="45" spans="1:34" ht="16.75">
      <c r="A45" s="44"/>
      <c r="B45" s="75"/>
      <c r="C45" s="75"/>
      <c r="D45" s="75"/>
      <c r="E45" s="75"/>
      <c r="F45" s="152"/>
      <c r="G45" s="75"/>
      <c r="H45" s="152"/>
      <c r="I45" s="75"/>
      <c r="J45" s="75"/>
      <c r="K45" s="75"/>
      <c r="L45" s="75"/>
      <c r="M45" s="152"/>
      <c r="N45" s="75"/>
      <c r="P45" s="75"/>
      <c r="Q45" s="75"/>
      <c r="R45" s="75"/>
      <c r="S45" s="75"/>
      <c r="U45" s="75"/>
      <c r="W45" s="75"/>
      <c r="X45" s="75"/>
      <c r="Y45" s="75"/>
      <c r="Z45" s="75"/>
      <c r="AB45" s="75"/>
      <c r="AD45" s="75"/>
      <c r="AE45" s="75"/>
      <c r="AF45" s="75"/>
      <c r="AH45" s="75"/>
    </row>
    <row r="46" spans="1:34">
      <c r="W46" s="61"/>
      <c r="X46" s="61"/>
      <c r="Y46" s="61"/>
      <c r="Z46" s="61"/>
      <c r="AD46" s="61"/>
      <c r="AE46" s="61"/>
      <c r="AF46" s="61"/>
    </row>
    <row r="47" spans="1:34" ht="16.75">
      <c r="A47" s="70" t="s">
        <v>135</v>
      </c>
      <c r="W47" s="61"/>
      <c r="X47" s="61"/>
      <c r="Y47" s="61"/>
      <c r="Z47" s="61"/>
      <c r="AD47" s="61"/>
      <c r="AE47" s="61"/>
      <c r="AF47" s="61"/>
    </row>
    <row r="48" spans="1:34" ht="16.75">
      <c r="A48" s="48" t="s">
        <v>136</v>
      </c>
      <c r="B48" s="65">
        <f>'Revenue Metrics Reconciliation'!C10</f>
        <v>56.795000000000002</v>
      </c>
      <c r="C48" s="65">
        <f>'Revenue Metrics Reconciliation'!D10</f>
        <v>64.813000000000002</v>
      </c>
      <c r="D48" s="65">
        <f>'Revenue Metrics Reconciliation'!E10</f>
        <v>64.989000000000004</v>
      </c>
      <c r="E48" s="65">
        <f>'Revenue Metrics Reconciliation'!F10</f>
        <v>68.025999999999996</v>
      </c>
      <c r="F48" s="146"/>
      <c r="G48" s="65">
        <f>+B48+C48+D48+E48</f>
        <v>254.62299999999999</v>
      </c>
      <c r="H48" s="146"/>
      <c r="I48" s="65">
        <f>'Revenue Metrics Reconciliation'!J10</f>
        <v>56.451000000000001</v>
      </c>
      <c r="J48" s="65">
        <f>'Revenue Metrics Reconciliation'!K10</f>
        <v>58.438999999999993</v>
      </c>
      <c r="K48" s="65">
        <f>'Revenue Metrics Reconciliation'!L10</f>
        <v>66.009</v>
      </c>
      <c r="L48" s="65">
        <f>'Revenue Metrics Reconciliation'!M10</f>
        <v>60.480999999999995</v>
      </c>
      <c r="M48" s="146"/>
      <c r="N48" s="65">
        <f>+I48+J48+K48+L48</f>
        <v>241.38</v>
      </c>
      <c r="P48" s="65">
        <f>'Revenue Metrics Reconciliation'!Q10</f>
        <v>58.539000000000001</v>
      </c>
      <c r="Q48" s="65">
        <f>'Revenue Metrics Reconciliation'!R10</f>
        <v>56.459000000000003</v>
      </c>
      <c r="R48" s="65">
        <f>'Revenue Metrics Reconciliation'!S10</f>
        <v>50.971000000000004</v>
      </c>
      <c r="S48" s="65">
        <f>'Revenue Metrics Reconciliation'!T10</f>
        <v>50.739000000000004</v>
      </c>
      <c r="U48" s="65">
        <f>SUM(P48:T48)</f>
        <v>216.708</v>
      </c>
      <c r="W48" s="65">
        <f>'Revenue Metrics Reconciliation'!X10</f>
        <v>50.126999999999995</v>
      </c>
      <c r="X48" s="65">
        <f>'Revenue Metrics Reconciliation'!Y10</f>
        <v>49.165999999999997</v>
      </c>
      <c r="Y48" s="65">
        <f>'Revenue Metrics Reconciliation'!Z10</f>
        <v>57.429999999999993</v>
      </c>
      <c r="Z48" s="65">
        <f>'Revenue Metrics Reconciliation'!AA10</f>
        <v>54.415999999999997</v>
      </c>
      <c r="AB48" s="65">
        <f>W48+X48+Y48+Z48</f>
        <v>211.13899999999998</v>
      </c>
      <c r="AD48" s="65">
        <f>'Nonrecurring Summary'!AZ6</f>
        <v>47.748999999999995</v>
      </c>
      <c r="AE48" s="65">
        <f>'Nonrecurring Summary'!BB6</f>
        <v>46.941000000000003</v>
      </c>
      <c r="AF48" s="65">
        <f>'Nonrecurring Summary'!BD6</f>
        <v>44.335000000000001</v>
      </c>
      <c r="AH48" s="65">
        <f>SUM(AD48:AF48)</f>
        <v>139.02500000000001</v>
      </c>
    </row>
    <row r="49" spans="1:34" ht="16.75">
      <c r="A49" s="48" t="s">
        <v>137</v>
      </c>
      <c r="B49" s="74">
        <f>B10</f>
        <v>31.619</v>
      </c>
      <c r="C49" s="74">
        <f>C10</f>
        <v>29.776</v>
      </c>
      <c r="D49" s="74">
        <f>D10</f>
        <v>34.44</v>
      </c>
      <c r="E49" s="74">
        <f>E10</f>
        <v>34.71</v>
      </c>
      <c r="F49" s="78"/>
      <c r="G49" s="74">
        <f>+B49+C49+D49+E49</f>
        <v>130.54499999999999</v>
      </c>
      <c r="H49" s="78"/>
      <c r="I49" s="74">
        <f>I10</f>
        <v>29.88</v>
      </c>
      <c r="J49" s="74">
        <f>J10</f>
        <v>30.504999999999999</v>
      </c>
      <c r="K49" s="74">
        <f>K10</f>
        <v>30.524000000000001</v>
      </c>
      <c r="L49" s="74">
        <f>L10</f>
        <v>33.317</v>
      </c>
      <c r="M49" s="78"/>
      <c r="N49" s="74">
        <f>+I49+J49+K49+L49</f>
        <v>124.226</v>
      </c>
      <c r="P49" s="74">
        <f>P10</f>
        <v>32.067999999999998</v>
      </c>
      <c r="Q49" s="74">
        <f>Q10</f>
        <v>30.7</v>
      </c>
      <c r="R49" s="74">
        <f>R10</f>
        <v>28.013000000000002</v>
      </c>
      <c r="S49" s="74">
        <f>S10</f>
        <v>28.748999999999999</v>
      </c>
      <c r="U49" s="74">
        <f>SUM(P49:T49)</f>
        <v>119.53</v>
      </c>
      <c r="W49" s="74">
        <f>W10</f>
        <v>26.795000000000002</v>
      </c>
      <c r="X49" s="74">
        <f>X10</f>
        <v>27.372</v>
      </c>
      <c r="Y49" s="74">
        <f>Y10</f>
        <v>25.045999999999999</v>
      </c>
      <c r="Z49" s="74">
        <f>Z10</f>
        <v>27.896999999999998</v>
      </c>
      <c r="AB49" s="74">
        <f>W49+X49+Y49+Z49</f>
        <v>107.10999999999999</v>
      </c>
      <c r="AD49" s="74">
        <f>AD10</f>
        <v>26.48</v>
      </c>
      <c r="AE49" s="74">
        <f>AE10</f>
        <v>26.8</v>
      </c>
      <c r="AF49" s="74">
        <f>AF10</f>
        <v>25.324000000000002</v>
      </c>
      <c r="AH49" s="74">
        <f>SUM(AD49:AF49)</f>
        <v>78.603999999999999</v>
      </c>
    </row>
    <row r="50" spans="1:34" ht="16.75">
      <c r="A50" s="44" t="s">
        <v>138</v>
      </c>
      <c r="B50" s="86">
        <f>+B48-B49</f>
        <v>25.176000000000002</v>
      </c>
      <c r="C50" s="86">
        <f>+C48-C49</f>
        <v>35.037000000000006</v>
      </c>
      <c r="D50" s="86">
        <f>+D48-D49</f>
        <v>30.549000000000007</v>
      </c>
      <c r="E50" s="86">
        <f>+E48-E49</f>
        <v>33.315999999999995</v>
      </c>
      <c r="F50" s="144"/>
      <c r="G50" s="86">
        <f>+B50+C50+D50+E50</f>
        <v>124.078</v>
      </c>
      <c r="H50" s="144"/>
      <c r="I50" s="86">
        <f>+I48-I49</f>
        <v>26.571000000000002</v>
      </c>
      <c r="J50" s="86">
        <f>+J48-J49</f>
        <v>27.933999999999994</v>
      </c>
      <c r="K50" s="86">
        <f>+K48-K49</f>
        <v>35.484999999999999</v>
      </c>
      <c r="L50" s="86">
        <f>+L48-L49</f>
        <v>27.163999999999994</v>
      </c>
      <c r="M50" s="144"/>
      <c r="N50" s="86">
        <f>+I50+J50+K50+L50</f>
        <v>117.154</v>
      </c>
      <c r="P50" s="86">
        <f>+P48-P49</f>
        <v>26.471000000000004</v>
      </c>
      <c r="Q50" s="86">
        <f>+Q48-Q49</f>
        <v>25.759000000000004</v>
      </c>
      <c r="R50" s="86">
        <f>+R48-R49</f>
        <v>22.958000000000002</v>
      </c>
      <c r="S50" s="86">
        <f>+S48-S49</f>
        <v>21.990000000000006</v>
      </c>
      <c r="U50" s="86">
        <f>SUM(P50:T50)</f>
        <v>97.178000000000011</v>
      </c>
      <c r="W50" s="86">
        <f>+W48-W49</f>
        <v>23.331999999999994</v>
      </c>
      <c r="X50" s="86">
        <f>+X48-X49</f>
        <v>21.793999999999997</v>
      </c>
      <c r="Y50" s="86">
        <f>+Y48-Y49</f>
        <v>32.383999999999993</v>
      </c>
      <c r="Z50" s="86">
        <f>+Z48-Z49</f>
        <v>26.518999999999998</v>
      </c>
      <c r="AB50" s="86">
        <f>W50+X50+Y50+Z50</f>
        <v>104.029</v>
      </c>
      <c r="AD50" s="86">
        <f>+AD48-AD49</f>
        <v>21.268999999999995</v>
      </c>
      <c r="AE50" s="86">
        <f>+AE48-AE49</f>
        <v>20.141000000000002</v>
      </c>
      <c r="AF50" s="86">
        <f>+AF48-AF49</f>
        <v>19.010999999999999</v>
      </c>
      <c r="AH50" s="86">
        <f>SUM(AD50:AF50)</f>
        <v>60.420999999999992</v>
      </c>
    </row>
    <row r="51" spans="1:34" ht="16.75">
      <c r="A51" s="44" t="s">
        <v>139</v>
      </c>
      <c r="B51" s="75">
        <f>B50/'Revenue Metrics Reconciliation'!C10</f>
        <v>0.44327845761070517</v>
      </c>
      <c r="C51" s="75">
        <f>C50/'Revenue Metrics Reconciliation'!D10</f>
        <v>0.5405859935506766</v>
      </c>
      <c r="D51" s="75">
        <f>D50/'Revenue Metrics Reconciliation'!E10</f>
        <v>0.47006416470479628</v>
      </c>
      <c r="E51" s="75">
        <f>E50/'Revenue Metrics Reconciliation'!F10</f>
        <v>0.48975391761973358</v>
      </c>
      <c r="F51" s="152"/>
      <c r="G51" s="75">
        <f>G50/'Revenue Metrics Reconciliation'!H10</f>
        <v>0.48730083299623367</v>
      </c>
      <c r="H51" s="152"/>
      <c r="I51" s="75">
        <f>I50/'Revenue Metrics Reconciliation'!J10</f>
        <v>0.47069139607801458</v>
      </c>
      <c r="J51" s="75">
        <f>J50/'Revenue Metrics Reconciliation'!K10</f>
        <v>0.47800270367391634</v>
      </c>
      <c r="K51" s="75">
        <f>K50/'Revenue Metrics Reconciliation'!L10</f>
        <v>0.53757820903210163</v>
      </c>
      <c r="L51" s="75">
        <f>L50/'Revenue Metrics Reconciliation'!M10</f>
        <v>0.44913278550288516</v>
      </c>
      <c r="M51" s="152"/>
      <c r="N51" s="75">
        <f>N50/'Revenue Metrics Reconciliation'!O10</f>
        <v>0.48535089899743145</v>
      </c>
      <c r="P51" s="75">
        <f>P50/'Revenue Metrics Reconciliation'!Q10</f>
        <v>0.45219426365329102</v>
      </c>
      <c r="Q51" s="75">
        <f>Q50/'Revenue Metrics Reconciliation'!R10</f>
        <v>0.45624258311340976</v>
      </c>
      <c r="R51" s="75">
        <f>R50/'Revenue Metrics Reconciliation'!S10</f>
        <v>0.45041297992976398</v>
      </c>
      <c r="S51" s="75">
        <f>S50/'Revenue Metrics Reconciliation'!T10</f>
        <v>0.43339443031987235</v>
      </c>
      <c r="U51" s="75">
        <f>U50/'Revenue Metrics Reconciliation'!V10</f>
        <v>0.44842829983203208</v>
      </c>
      <c r="W51" s="75">
        <f>W50/'Revenue Metrics Reconciliation'!X10</f>
        <v>0.46545773734713819</v>
      </c>
      <c r="X51" s="75">
        <f>X50/'Revenue Metrics Reconciliation'!Y10</f>
        <v>0.44327380710246916</v>
      </c>
      <c r="Y51" s="75">
        <f>Y50/'Revenue Metrics Reconciliation'!Z10</f>
        <v>0.56388647048580876</v>
      </c>
      <c r="Z51" s="75">
        <f>Z50/'Revenue Metrics Reconciliation'!AA10</f>
        <v>0.48733828285798292</v>
      </c>
      <c r="AA51" s="218"/>
      <c r="AB51" s="75">
        <f>AB50/'Revenue Metrics Reconciliation'!AC10</f>
        <v>0.4927038585955224</v>
      </c>
      <c r="AD51" s="75">
        <f>AD50/AD48</f>
        <v>0.44543341221805688</v>
      </c>
      <c r="AE51" s="75">
        <f>AE50/AE48</f>
        <v>0.4290705353528898</v>
      </c>
      <c r="AF51" s="75">
        <f>AF50/AF48</f>
        <v>0.42880342844253971</v>
      </c>
      <c r="AH51" s="75">
        <f>AH50/AH48</f>
        <v>0.43460528681891741</v>
      </c>
    </row>
    <row r="52" spans="1:34">
      <c r="W52" s="61"/>
      <c r="X52" s="61"/>
      <c r="Y52" s="61"/>
      <c r="Z52" s="61"/>
      <c r="AD52" s="61"/>
      <c r="AE52" s="61"/>
      <c r="AF52" s="61"/>
    </row>
    <row r="53" spans="1:34" ht="16.75">
      <c r="A53" s="51" t="s">
        <v>140</v>
      </c>
      <c r="B53" s="77">
        <v>0</v>
      </c>
      <c r="C53" s="77">
        <v>0</v>
      </c>
      <c r="D53" s="77">
        <v>0</v>
      </c>
      <c r="E53" s="77">
        <v>0</v>
      </c>
      <c r="F53" s="78"/>
      <c r="G53" s="77">
        <f t="shared" ref="G53:G61" si="10">+B53+C53+D53+E53</f>
        <v>0</v>
      </c>
      <c r="H53" s="78"/>
      <c r="I53" s="77">
        <f>I16-I35</f>
        <v>0</v>
      </c>
      <c r="J53" s="77">
        <f>J16-J35</f>
        <v>0</v>
      </c>
      <c r="K53" s="77">
        <f>K16-K35</f>
        <v>0</v>
      </c>
      <c r="L53" s="77">
        <f>L16-L35</f>
        <v>0</v>
      </c>
      <c r="M53" s="78"/>
      <c r="N53" s="77">
        <f t="shared" ref="N53:N61" si="11">+I53+J53+K53+L53</f>
        <v>0</v>
      </c>
      <c r="P53" s="77">
        <f>P16-P35</f>
        <v>0</v>
      </c>
      <c r="Q53" s="77">
        <f>Q16-Q35</f>
        <v>0</v>
      </c>
      <c r="R53" s="77">
        <f>R16-R35</f>
        <v>0</v>
      </c>
      <c r="S53" s="77">
        <f>S16-S35</f>
        <v>0</v>
      </c>
      <c r="U53" s="77">
        <f t="shared" ref="U53:U61" si="12">SUM(P53:T53)</f>
        <v>0</v>
      </c>
      <c r="W53" s="77">
        <f>W16-W35</f>
        <v>0</v>
      </c>
      <c r="X53" s="77">
        <f>X16-X35</f>
        <v>0</v>
      </c>
      <c r="Y53" s="77">
        <f>Y16-Y35</f>
        <v>0</v>
      </c>
      <c r="Z53" s="77">
        <f>Z16-Z35</f>
        <v>0</v>
      </c>
      <c r="AB53" s="77">
        <f t="shared" ref="AB53:AB61" si="13">W53+X53+Y53+Z53</f>
        <v>0</v>
      </c>
      <c r="AD53" s="77">
        <v>0</v>
      </c>
      <c r="AE53" s="77">
        <f>AE16-AE35</f>
        <v>0</v>
      </c>
      <c r="AF53" s="77">
        <f>AF16-AF35</f>
        <v>0</v>
      </c>
      <c r="AH53" s="77">
        <f>SUM(AD53:AF53)</f>
        <v>0</v>
      </c>
    </row>
    <row r="54" spans="1:34" ht="16.75">
      <c r="A54" s="51" t="s">
        <v>141</v>
      </c>
      <c r="B54" s="77">
        <v>0.27200000000000002</v>
      </c>
      <c r="C54" s="77">
        <v>0.68500000000000005</v>
      </c>
      <c r="D54" s="77">
        <v>1.169</v>
      </c>
      <c r="E54" s="77">
        <v>5.8000000000000003E-2</v>
      </c>
      <c r="F54" s="78"/>
      <c r="G54" s="77">
        <f t="shared" si="10"/>
        <v>2.1840000000000002</v>
      </c>
      <c r="H54" s="78"/>
      <c r="I54" s="77">
        <f t="shared" ref="I54:L57" si="14">I18-I36</f>
        <v>0.83299999999999996</v>
      </c>
      <c r="J54" s="77">
        <f t="shared" si="14"/>
        <v>0.86399999999999988</v>
      </c>
      <c r="K54" s="77">
        <f t="shared" si="14"/>
        <v>0.69</v>
      </c>
      <c r="L54" s="77">
        <f t="shared" si="14"/>
        <v>0.64200000000000013</v>
      </c>
      <c r="M54" s="78"/>
      <c r="N54" s="77">
        <f t="shared" si="11"/>
        <v>3.0289999999999999</v>
      </c>
      <c r="P54" s="77">
        <f t="shared" ref="P54:Q54" si="15">P18-P36</f>
        <v>0.64</v>
      </c>
      <c r="Q54" s="77">
        <f t="shared" si="15"/>
        <v>0.81799999999999984</v>
      </c>
      <c r="R54" s="77">
        <f t="shared" ref="R54:S54" si="16">R18-R36</f>
        <v>0.6</v>
      </c>
      <c r="S54" s="77">
        <f t="shared" si="16"/>
        <v>0.748</v>
      </c>
      <c r="U54" s="77">
        <f t="shared" si="12"/>
        <v>2.806</v>
      </c>
      <c r="W54" s="77">
        <f t="shared" ref="W54" si="17">W18-W36</f>
        <v>0.14000000000000001</v>
      </c>
      <c r="X54" s="77">
        <f>X18-X36</f>
        <v>0.68999999999999984</v>
      </c>
      <c r="Y54" s="77">
        <v>0.56999999999999995</v>
      </c>
      <c r="Z54" s="77">
        <v>0.61699999999999999</v>
      </c>
      <c r="AB54" s="77">
        <f t="shared" si="13"/>
        <v>2.0169999999999999</v>
      </c>
      <c r="AD54" s="77">
        <v>0.53300000000000003</v>
      </c>
      <c r="AE54" s="77">
        <f>AE18-AE36</f>
        <v>1.0309999999999999</v>
      </c>
      <c r="AF54" s="77">
        <f>AF18-AF36</f>
        <v>0.35699999999999998</v>
      </c>
      <c r="AH54" s="77">
        <f t="shared" ref="AH54:AH59" si="18">SUM(AD54:AF54)</f>
        <v>1.921</v>
      </c>
    </row>
    <row r="55" spans="1:34" ht="16.75">
      <c r="A55" s="51" t="s">
        <v>142</v>
      </c>
      <c r="B55" s="77">
        <v>0.161</v>
      </c>
      <c r="C55" s="77">
        <v>2.7E-2</v>
      </c>
      <c r="D55" s="77">
        <v>1.4999999999999999E-2</v>
      </c>
      <c r="E55" s="77">
        <v>3.0000000000000001E-3</v>
      </c>
      <c r="F55" s="78"/>
      <c r="G55" s="77">
        <f t="shared" si="10"/>
        <v>0.20600000000000002</v>
      </c>
      <c r="H55" s="78"/>
      <c r="I55" s="77">
        <f t="shared" si="14"/>
        <v>0</v>
      </c>
      <c r="J55" s="77">
        <f t="shared" si="14"/>
        <v>0</v>
      </c>
      <c r="K55" s="77">
        <f t="shared" si="14"/>
        <v>9.0999999999999998E-2</v>
      </c>
      <c r="L55" s="77">
        <f t="shared" si="14"/>
        <v>0.13200000000000001</v>
      </c>
      <c r="M55" s="78"/>
      <c r="N55" s="77">
        <f t="shared" si="11"/>
        <v>0.223</v>
      </c>
      <c r="P55" s="77">
        <f t="shared" ref="P55:Q55" si="19">P19-P37</f>
        <v>0.22900000000000001</v>
      </c>
      <c r="Q55" s="77">
        <f t="shared" si="19"/>
        <v>-7.4999999999999997E-2</v>
      </c>
      <c r="R55" s="77">
        <f t="shared" ref="R55:S55" si="20">R19-R37</f>
        <v>0</v>
      </c>
      <c r="S55" s="77">
        <f t="shared" si="20"/>
        <v>0</v>
      </c>
      <c r="T55" s="212"/>
      <c r="U55" s="77">
        <f t="shared" si="12"/>
        <v>0.15400000000000003</v>
      </c>
      <c r="W55" s="77">
        <f t="shared" ref="W55:X55" si="21">W19-W37</f>
        <v>0</v>
      </c>
      <c r="X55" s="77">
        <f t="shared" si="21"/>
        <v>0</v>
      </c>
      <c r="Y55" s="77">
        <f t="shared" ref="Y55" si="22">Y19-Y37</f>
        <v>0</v>
      </c>
      <c r="Z55" s="77">
        <v>0</v>
      </c>
      <c r="AB55" s="77">
        <f t="shared" si="13"/>
        <v>0</v>
      </c>
      <c r="AD55" s="77">
        <v>0</v>
      </c>
      <c r="AE55" s="77">
        <f t="shared" ref="AE55:AF55" si="23">AE19-AE37</f>
        <v>0</v>
      </c>
      <c r="AF55" s="77">
        <f t="shared" si="23"/>
        <v>0</v>
      </c>
      <c r="AH55" s="77">
        <f t="shared" si="18"/>
        <v>0</v>
      </c>
    </row>
    <row r="56" spans="1:34" ht="16.75">
      <c r="A56" s="51" t="s">
        <v>143</v>
      </c>
      <c r="B56" s="77">
        <v>0.83799999999999997</v>
      </c>
      <c r="C56" s="77">
        <v>-6.0999999999999999E-2</v>
      </c>
      <c r="D56" s="77">
        <v>8.2000000000000003E-2</v>
      </c>
      <c r="E56" s="77">
        <v>0.309</v>
      </c>
      <c r="F56" s="78"/>
      <c r="G56" s="77">
        <f t="shared" si="10"/>
        <v>1.1679999999999999</v>
      </c>
      <c r="H56" s="78"/>
      <c r="I56" s="77">
        <f t="shared" si="14"/>
        <v>0.10900000000000004</v>
      </c>
      <c r="J56" s="77">
        <f t="shared" si="14"/>
        <v>-5.9999999999999915E-3</v>
      </c>
      <c r="K56" s="77">
        <f t="shared" si="14"/>
        <v>0.21</v>
      </c>
      <c r="L56" s="77">
        <f t="shared" si="14"/>
        <v>0</v>
      </c>
      <c r="M56" s="78"/>
      <c r="N56" s="77">
        <f t="shared" si="11"/>
        <v>0.31300000000000006</v>
      </c>
      <c r="P56" s="77">
        <f t="shared" ref="P56:Q56" si="24">P20-P38</f>
        <v>0.22700000000000004</v>
      </c>
      <c r="Q56" s="77">
        <f t="shared" si="24"/>
        <v>0.02</v>
      </c>
      <c r="R56" s="77">
        <f t="shared" ref="R56:S56" si="25">R20-R38</f>
        <v>0.13399999999999995</v>
      </c>
      <c r="S56" s="77">
        <f t="shared" si="25"/>
        <v>0.80099999999999993</v>
      </c>
      <c r="T56" s="212"/>
      <c r="U56" s="77">
        <f t="shared" si="12"/>
        <v>1.1819999999999999</v>
      </c>
      <c r="W56" s="77">
        <f t="shared" ref="W56:X56" si="26">W20-W38</f>
        <v>0.15300000000000002</v>
      </c>
      <c r="X56" s="77">
        <f t="shared" si="26"/>
        <v>0.34900000000000009</v>
      </c>
      <c r="Y56" s="77">
        <v>1.2E-2</v>
      </c>
      <c r="Z56" s="77">
        <v>0.58899999999999997</v>
      </c>
      <c r="AB56" s="77">
        <f t="shared" si="13"/>
        <v>1.1030000000000002</v>
      </c>
      <c r="AD56" s="77">
        <v>0.17499999999999999</v>
      </c>
      <c r="AE56" s="77">
        <f t="shared" ref="AE56:AF56" si="27">AE20-AE38</f>
        <v>0.41799999999999998</v>
      </c>
      <c r="AF56" s="77">
        <f t="shared" si="27"/>
        <v>0.22700000000000001</v>
      </c>
      <c r="AH56" s="77">
        <f t="shared" si="18"/>
        <v>0.82</v>
      </c>
    </row>
    <row r="57" spans="1:34" ht="16.75">
      <c r="A57" s="51" t="s">
        <v>144</v>
      </c>
      <c r="B57" s="77">
        <v>0</v>
      </c>
      <c r="C57" s="77">
        <v>0</v>
      </c>
      <c r="D57" s="77">
        <v>0</v>
      </c>
      <c r="E57" s="77">
        <v>0</v>
      </c>
      <c r="F57" s="78"/>
      <c r="G57" s="77">
        <f t="shared" si="10"/>
        <v>0</v>
      </c>
      <c r="H57" s="78"/>
      <c r="I57" s="77">
        <f t="shared" si="14"/>
        <v>4.5999999999999999E-2</v>
      </c>
      <c r="J57" s="77">
        <f t="shared" si="14"/>
        <v>0</v>
      </c>
      <c r="K57" s="77">
        <f t="shared" si="14"/>
        <v>0</v>
      </c>
      <c r="L57" s="77">
        <f t="shared" si="14"/>
        <v>0</v>
      </c>
      <c r="M57" s="78"/>
      <c r="N57" s="77">
        <f t="shared" si="11"/>
        <v>4.5999999999999999E-2</v>
      </c>
      <c r="P57" s="77">
        <f t="shared" ref="P57:Q57" si="28">P21-P39</f>
        <v>0</v>
      </c>
      <c r="Q57" s="77">
        <f t="shared" si="28"/>
        <v>0</v>
      </c>
      <c r="R57" s="77">
        <f t="shared" ref="R57:S57" si="29">R21-R39</f>
        <v>0</v>
      </c>
      <c r="S57" s="77">
        <f t="shared" si="29"/>
        <v>0</v>
      </c>
      <c r="T57" s="212"/>
      <c r="U57" s="77">
        <f t="shared" si="12"/>
        <v>0</v>
      </c>
      <c r="W57" s="77">
        <f t="shared" ref="W57:X57" si="30">W21-W39</f>
        <v>0</v>
      </c>
      <c r="X57" s="77">
        <f t="shared" si="30"/>
        <v>0</v>
      </c>
      <c r="Y57" s="77">
        <f t="shared" ref="Y57" si="31">Y21-Y39</f>
        <v>0</v>
      </c>
      <c r="Z57" s="77">
        <v>0</v>
      </c>
      <c r="AB57" s="77">
        <f t="shared" si="13"/>
        <v>0</v>
      </c>
      <c r="AD57" s="77">
        <v>0</v>
      </c>
      <c r="AE57" s="77">
        <f t="shared" ref="AE57:AF57" si="32">AE21-AE39</f>
        <v>0</v>
      </c>
      <c r="AF57" s="77">
        <f t="shared" si="32"/>
        <v>0</v>
      </c>
      <c r="AH57" s="77">
        <f t="shared" si="18"/>
        <v>0</v>
      </c>
    </row>
    <row r="58" spans="1:34" ht="16.75">
      <c r="A58" s="51" t="s">
        <v>145</v>
      </c>
      <c r="B58" s="77">
        <v>0</v>
      </c>
      <c r="C58" s="77">
        <v>0</v>
      </c>
      <c r="D58" s="77">
        <v>0.14499999999999999</v>
      </c>
      <c r="E58" s="77">
        <v>0</v>
      </c>
      <c r="F58" s="78"/>
      <c r="G58" s="77">
        <f t="shared" si="10"/>
        <v>0.14499999999999999</v>
      </c>
      <c r="H58" s="78"/>
      <c r="I58" s="77">
        <v>0</v>
      </c>
      <c r="J58" s="77">
        <v>0</v>
      </c>
      <c r="K58" s="77">
        <v>0</v>
      </c>
      <c r="L58" s="77">
        <v>0</v>
      </c>
      <c r="M58" s="78"/>
      <c r="N58" s="77">
        <f t="shared" si="11"/>
        <v>0</v>
      </c>
      <c r="P58" s="77">
        <v>0</v>
      </c>
      <c r="Q58" s="77">
        <v>0</v>
      </c>
      <c r="R58" s="77">
        <v>0</v>
      </c>
      <c r="S58" s="77">
        <v>0</v>
      </c>
      <c r="T58" s="212"/>
      <c r="U58" s="77">
        <f t="shared" si="12"/>
        <v>0</v>
      </c>
      <c r="W58" s="77">
        <v>0</v>
      </c>
      <c r="X58" s="77">
        <v>0</v>
      </c>
      <c r="Y58" s="77">
        <v>0</v>
      </c>
      <c r="Z58" s="77">
        <v>0</v>
      </c>
      <c r="AB58" s="77">
        <f t="shared" si="13"/>
        <v>0</v>
      </c>
      <c r="AD58" s="77">
        <v>0</v>
      </c>
      <c r="AE58" s="77">
        <v>0</v>
      </c>
      <c r="AF58" s="77">
        <v>0</v>
      </c>
      <c r="AH58" s="77">
        <f t="shared" si="18"/>
        <v>0</v>
      </c>
    </row>
    <row r="59" spans="1:34" ht="16.75">
      <c r="A59" s="48" t="s">
        <v>146</v>
      </c>
      <c r="B59" s="77">
        <v>1.2010000000000001</v>
      </c>
      <c r="C59" s="77">
        <v>0.21099999999999999</v>
      </c>
      <c r="D59" s="77">
        <v>1.101</v>
      </c>
      <c r="E59" s="77">
        <v>1.1890000000000001</v>
      </c>
      <c r="F59" s="78"/>
      <c r="G59" s="77">
        <f t="shared" si="10"/>
        <v>3.702</v>
      </c>
      <c r="H59" s="78"/>
      <c r="I59" s="77">
        <f t="shared" ref="I59:L60" si="33">I23-I41</f>
        <v>0</v>
      </c>
      <c r="J59" s="77">
        <f t="shared" si="33"/>
        <v>0</v>
      </c>
      <c r="K59" s="77">
        <f t="shared" si="33"/>
        <v>0</v>
      </c>
      <c r="L59" s="77">
        <f t="shared" si="33"/>
        <v>0</v>
      </c>
      <c r="M59" s="78"/>
      <c r="N59" s="77">
        <f t="shared" si="11"/>
        <v>0</v>
      </c>
      <c r="P59" s="77">
        <f t="shared" ref="P59:Q59" si="34">P23-P41</f>
        <v>0</v>
      </c>
      <c r="Q59" s="77">
        <f t="shared" si="34"/>
        <v>0</v>
      </c>
      <c r="R59" s="77">
        <f t="shared" ref="R59:S59" si="35">R23-R41</f>
        <v>0</v>
      </c>
      <c r="S59" s="77">
        <f t="shared" si="35"/>
        <v>0</v>
      </c>
      <c r="T59" s="212"/>
      <c r="U59" s="77">
        <f t="shared" si="12"/>
        <v>0</v>
      </c>
      <c r="W59" s="77">
        <f t="shared" ref="W59:X59" si="36">W23-W41</f>
        <v>0</v>
      </c>
      <c r="X59" s="77">
        <f t="shared" si="36"/>
        <v>0</v>
      </c>
      <c r="Y59" s="77">
        <f t="shared" ref="Y59:Z59" si="37">Y23-Y41</f>
        <v>0</v>
      </c>
      <c r="Z59" s="77">
        <f t="shared" si="37"/>
        <v>0</v>
      </c>
      <c r="AB59" s="77">
        <f t="shared" si="13"/>
        <v>0</v>
      </c>
      <c r="AD59" s="77">
        <f t="shared" ref="AD59:AE59" si="38">AD23-AD41</f>
        <v>0</v>
      </c>
      <c r="AE59" s="77">
        <f t="shared" si="38"/>
        <v>0</v>
      </c>
      <c r="AF59" s="77">
        <f t="shared" ref="AF59" si="39">AF23-AF41</f>
        <v>0</v>
      </c>
      <c r="AH59" s="77">
        <f t="shared" si="18"/>
        <v>0</v>
      </c>
    </row>
    <row r="60" spans="1:34" ht="16.75">
      <c r="A60" s="48" t="s">
        <v>147</v>
      </c>
      <c r="B60" s="74">
        <v>-0.75</v>
      </c>
      <c r="C60" s="74">
        <v>0.157</v>
      </c>
      <c r="D60" s="74">
        <v>-0.23200000000000001</v>
      </c>
      <c r="E60" s="74">
        <v>-0.58399999999999996</v>
      </c>
      <c r="F60" s="78"/>
      <c r="G60" s="74">
        <f t="shared" si="10"/>
        <v>-1.4089999999999998</v>
      </c>
      <c r="H60" s="78"/>
      <c r="I60" s="74">
        <f t="shared" si="33"/>
        <v>0</v>
      </c>
      <c r="J60" s="74">
        <f t="shared" si="33"/>
        <v>0</v>
      </c>
      <c r="K60" s="74">
        <f t="shared" si="33"/>
        <v>0</v>
      </c>
      <c r="L60" s="74">
        <f t="shared" si="33"/>
        <v>0</v>
      </c>
      <c r="M60" s="78"/>
      <c r="N60" s="74">
        <f t="shared" si="11"/>
        <v>0</v>
      </c>
      <c r="P60" s="74">
        <f t="shared" ref="P60:Q60" si="40">P24-P42</f>
        <v>0</v>
      </c>
      <c r="Q60" s="74">
        <f t="shared" si="40"/>
        <v>0</v>
      </c>
      <c r="R60" s="74">
        <f t="shared" ref="R60:S60" si="41">R24-R42</f>
        <v>0</v>
      </c>
      <c r="S60" s="74">
        <f t="shared" si="41"/>
        <v>0</v>
      </c>
      <c r="T60" s="212"/>
      <c r="U60" s="74">
        <f t="shared" si="12"/>
        <v>0</v>
      </c>
      <c r="W60" s="74">
        <f t="shared" ref="W60:X60" si="42">W24-W42</f>
        <v>0</v>
      </c>
      <c r="X60" s="74">
        <f t="shared" si="42"/>
        <v>0</v>
      </c>
      <c r="Y60" s="74">
        <f t="shared" ref="Y60:Z60" si="43">Y24-Y42</f>
        <v>0</v>
      </c>
      <c r="Z60" s="74">
        <f t="shared" si="43"/>
        <v>0</v>
      </c>
      <c r="AB60" s="74">
        <f t="shared" si="13"/>
        <v>0</v>
      </c>
      <c r="AD60" s="74">
        <f t="shared" ref="AD60:AE60" si="44">AD24-AD42</f>
        <v>0</v>
      </c>
      <c r="AE60" s="74">
        <f t="shared" si="44"/>
        <v>0</v>
      </c>
      <c r="AF60" s="74">
        <f t="shared" ref="AF60" si="45">AF24-AF42</f>
        <v>0</v>
      </c>
      <c r="AH60" s="74">
        <f>SUM(AD60:AF60)</f>
        <v>0</v>
      </c>
    </row>
    <row r="61" spans="1:34" ht="16.75">
      <c r="A61" s="44" t="s">
        <v>148</v>
      </c>
      <c r="B61" s="55">
        <f>+B50+SUM(B53:B60)</f>
        <v>26.898000000000003</v>
      </c>
      <c r="C61" s="55">
        <f>+C50+SUM(C53:C60)</f>
        <v>36.056000000000004</v>
      </c>
      <c r="D61" s="55">
        <f>+D50+SUM(D53:D60)</f>
        <v>32.829000000000008</v>
      </c>
      <c r="E61" s="55">
        <f>+E50+SUM(E53:E60)</f>
        <v>34.290999999999997</v>
      </c>
      <c r="F61" s="128"/>
      <c r="G61" s="55">
        <f t="shared" si="10"/>
        <v>130.07400000000001</v>
      </c>
      <c r="H61" s="128"/>
      <c r="I61" s="55">
        <f>+I50+SUM(I53:I60)</f>
        <v>27.559000000000001</v>
      </c>
      <c r="J61" s="55">
        <f>+J50+SUM(J53:J60)</f>
        <v>28.791999999999994</v>
      </c>
      <c r="K61" s="55">
        <f>+K50+SUM(K53:K60)</f>
        <v>36.475999999999999</v>
      </c>
      <c r="L61" s="55">
        <f>+L50+SUM(L53:L60)</f>
        <v>27.937999999999995</v>
      </c>
      <c r="M61" s="128"/>
      <c r="N61" s="55">
        <f t="shared" si="11"/>
        <v>120.76499999999999</v>
      </c>
      <c r="P61" s="55">
        <f>+P50+SUM(P53:P60)</f>
        <v>27.567000000000004</v>
      </c>
      <c r="Q61" s="55">
        <f>+Q50+SUM(Q53:Q60)</f>
        <v>26.522000000000006</v>
      </c>
      <c r="R61" s="55">
        <f>+R50+SUM(R53:R60)</f>
        <v>23.692</v>
      </c>
      <c r="S61" s="55">
        <f>+S50+SUM(S53:S60)</f>
        <v>23.539000000000005</v>
      </c>
      <c r="T61" s="212"/>
      <c r="U61" s="55">
        <f t="shared" si="12"/>
        <v>101.32000000000001</v>
      </c>
      <c r="W61" s="55">
        <f>+W50+SUM(W53:W60)</f>
        <v>23.624999999999993</v>
      </c>
      <c r="X61" s="55">
        <f>+X50+SUM(X53:X60)</f>
        <v>22.832999999999998</v>
      </c>
      <c r="Y61" s="55">
        <f>+Y50+SUM(Y53:Y60)</f>
        <v>32.965999999999994</v>
      </c>
      <c r="Z61" s="55">
        <f>+Z50+SUM(Z53:Z60)</f>
        <v>27.724999999999998</v>
      </c>
      <c r="AB61" s="55">
        <f t="shared" si="13"/>
        <v>107.14899999999997</v>
      </c>
      <c r="AD61" s="55">
        <f>+AD50+SUM(AD53:AD60)</f>
        <v>21.976999999999993</v>
      </c>
      <c r="AE61" s="55">
        <f>+AE50+SUM(AE53:AE60)</f>
        <v>21.590000000000003</v>
      </c>
      <c r="AF61" s="55">
        <f>+AF50+SUM(AF53:AF60)</f>
        <v>19.594999999999999</v>
      </c>
      <c r="AH61" s="55">
        <f>SUM(AD61:AF61)</f>
        <v>63.161999999999992</v>
      </c>
    </row>
    <row r="62" spans="1:34" ht="16.75">
      <c r="A62" s="44" t="s">
        <v>149</v>
      </c>
      <c r="B62" s="75">
        <f>B61/'Revenue Metrics Reconciliation'!C28</f>
        <v>0.47359802799542217</v>
      </c>
      <c r="C62" s="75">
        <f>C61/'Revenue Metrics Reconciliation'!D28</f>
        <v>0.55630814805671702</v>
      </c>
      <c r="D62" s="75">
        <f>D61/'Revenue Metrics Reconciliation'!E28</f>
        <v>0.50514702488113383</v>
      </c>
      <c r="E62" s="75">
        <f>E61/'Revenue Metrics Reconciliation'!F28</f>
        <v>0.50408667274277486</v>
      </c>
      <c r="F62" s="152"/>
      <c r="G62" s="75">
        <f>G61/'Revenue Metrics Reconciliation'!H28</f>
        <v>0.51084937338732173</v>
      </c>
      <c r="H62" s="152"/>
      <c r="I62" s="75">
        <f>I61/'Revenue Metrics Reconciliation'!J28</f>
        <v>0.48819330038440417</v>
      </c>
      <c r="J62" s="75">
        <f>J61/'Revenue Metrics Reconciliation'!K28</f>
        <v>0.49268467975153574</v>
      </c>
      <c r="K62" s="75">
        <f>K61/'Revenue Metrics Reconciliation'!L28</f>
        <v>0.55259131330576128</v>
      </c>
      <c r="L62" s="75">
        <f>L61/'Revenue Metrics Reconciliation'!M28</f>
        <v>0.46193019295315879</v>
      </c>
      <c r="M62" s="152"/>
      <c r="N62" s="75">
        <f>N61/'Revenue Metrics Reconciliation'!O28</f>
        <v>0.50031071339796163</v>
      </c>
      <c r="P62" s="75">
        <f>P61/'Revenue Metrics Reconciliation'!Q28</f>
        <v>0.47091682468098195</v>
      </c>
      <c r="Q62" s="75">
        <f>Q61/'Revenue Metrics Reconciliation'!R28</f>
        <v>0.46975681467967911</v>
      </c>
      <c r="R62" s="75">
        <f>R61/'Revenue Metrics Reconciliation'!S28</f>
        <v>0.46481332522414703</v>
      </c>
      <c r="S62" s="75">
        <f>S61/'Revenue Metrics Reconciliation'!T28</f>
        <v>0.46392321488401433</v>
      </c>
      <c r="U62" s="75">
        <f>U61/'Revenue Metrics Reconciliation'!V28</f>
        <v>0.46754157668383267</v>
      </c>
      <c r="W62" s="75">
        <f>W61/'Revenue Metrics Reconciliation'!X28</f>
        <v>0.47130289065772929</v>
      </c>
      <c r="X62" s="75">
        <f>X61/'Revenue Metrics Reconciliation'!Y28</f>
        <v>0.46440629703453606</v>
      </c>
      <c r="Y62" s="75">
        <f>Y61/'Revenue Metrics Reconciliation'!Z28</f>
        <v>0.57402054675256831</v>
      </c>
      <c r="Z62" s="75">
        <f>Z61/'Revenue Metrics Reconciliation'!AA28</f>
        <v>0.50950088209350186</v>
      </c>
      <c r="AA62" s="218"/>
      <c r="AB62" s="75">
        <v>0.50700000000000001</v>
      </c>
      <c r="AD62" s="75">
        <f>AD61/'Nonrecurring Summary'!BA6</f>
        <v>0.46026094787325378</v>
      </c>
      <c r="AE62" s="75">
        <f>AE61/'Nonrecurring Summary'!BC6</f>
        <v>0.45993907245265336</v>
      </c>
      <c r="AF62" s="75">
        <f>AF61/'Nonrecurring Summary'!BE6</f>
        <v>0.44197586556896357</v>
      </c>
      <c r="AH62" s="75">
        <f>AH61/'Nonrecurring Summary'!BH6</f>
        <v>0.45432116525804705</v>
      </c>
    </row>
  </sheetData>
  <mergeCells count="5">
    <mergeCell ref="B3:E3"/>
    <mergeCell ref="I3:L3"/>
    <mergeCell ref="P3:S3"/>
    <mergeCell ref="W3:Z3"/>
    <mergeCell ref="AD3:AF3"/>
  </mergeCells>
  <pageMargins left="0.25" right="0.25" top="0.75" bottom="0.75" header="0.3" footer="0.3"/>
  <pageSetup scale="5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91D5D-0268-40B3-A662-41D0183B3BED}">
  <sheetPr codeName="Sheet8">
    <tabColor rgb="FF0079FF"/>
    <pageSetUpPr fitToPage="1"/>
  </sheetPr>
  <dimension ref="A1:AH200"/>
  <sheetViews>
    <sheetView zoomScale="65" zoomScaleNormal="65" zoomScaleSheetLayoutView="85" workbookViewId="0">
      <pane xSplit="1" ySplit="4" topLeftCell="G5" activePane="bottomRight" state="frozen"/>
      <selection pane="topRight" activeCell="B1" sqref="B1"/>
      <selection pane="bottomLeft" activeCell="A5" sqref="A5"/>
      <selection pane="bottomRight" activeCell="G5" sqref="G5"/>
    </sheetView>
  </sheetViews>
  <sheetFormatPr defaultColWidth="9.1328125" defaultRowHeight="10.5" outlineLevelCol="1"/>
  <cols>
    <col min="1" max="1" width="66.40625" style="60" customWidth="1"/>
    <col min="2" max="5" width="20.40625" style="37" hidden="1" customWidth="1" outlineLevel="1"/>
    <col min="6" max="6" width="2" style="37" hidden="1" customWidth="1" outlineLevel="1"/>
    <col min="7" max="7" width="20.40625" style="37" customWidth="1" collapsed="1"/>
    <col min="8" max="8" width="2" style="37" customWidth="1"/>
    <col min="9" max="12" width="20.40625" style="37" hidden="1" customWidth="1" outlineLevel="1"/>
    <col min="13" max="13" width="2" style="37" hidden="1" customWidth="1" outlineLevel="1"/>
    <col min="14" max="14" width="20.40625" style="37" customWidth="1" collapsed="1"/>
    <col min="15" max="15" width="2.1328125" style="60" customWidth="1"/>
    <col min="16" max="19" width="21.40625" style="37" hidden="1" customWidth="1" outlineLevel="1"/>
    <col min="20" max="20" width="1.1328125" style="60" hidden="1" customWidth="1" outlineLevel="1"/>
    <col min="21" max="21" width="21.40625" style="37" hidden="1" customWidth="1" outlineLevel="1"/>
    <col min="22" max="22" width="2.40625" style="60" hidden="1" customWidth="1" outlineLevel="1"/>
    <col min="23" max="23" width="19.86328125" style="60" customWidth="1" collapsed="1"/>
    <col min="24" max="26" width="19.86328125" style="60" customWidth="1"/>
    <col min="27" max="27" width="1.40625" style="60" customWidth="1"/>
    <col min="28" max="28" width="20.40625" style="60" customWidth="1"/>
    <col min="29" max="29" width="2.40625" style="60" customWidth="1"/>
    <col min="30" max="32" width="19.86328125" style="60" customWidth="1"/>
    <col min="33" max="33" width="2.40625" style="60" customWidth="1"/>
    <col min="34" max="34" width="20.40625" style="60" customWidth="1"/>
    <col min="35" max="16384" width="9.1328125" style="60"/>
  </cols>
  <sheetData>
    <row r="1" spans="1:34" s="37" customFormat="1" ht="18">
      <c r="A1" s="5" t="s">
        <v>7</v>
      </c>
    </row>
    <row r="2" spans="1:34" s="37" customFormat="1">
      <c r="A2" s="38"/>
      <c r="B2" s="38"/>
      <c r="C2" s="38"/>
      <c r="D2" s="38"/>
      <c r="E2" s="38"/>
      <c r="F2" s="38"/>
      <c r="G2" s="38"/>
      <c r="H2" s="38"/>
      <c r="I2" s="38"/>
      <c r="J2" s="38"/>
      <c r="K2" s="38"/>
      <c r="L2" s="38"/>
      <c r="M2" s="38"/>
      <c r="N2" s="38"/>
      <c r="P2" s="38"/>
      <c r="Q2" s="38"/>
      <c r="R2" s="38"/>
      <c r="S2" s="38"/>
      <c r="U2" s="38"/>
      <c r="AB2" s="38"/>
      <c r="AH2" s="38"/>
    </row>
    <row r="3" spans="1:34" s="7" customFormat="1" ht="30" customHeight="1">
      <c r="A3" s="41"/>
      <c r="B3" s="355" t="s">
        <v>21</v>
      </c>
      <c r="C3" s="355"/>
      <c r="D3" s="355"/>
      <c r="E3" s="355"/>
      <c r="F3" s="138"/>
      <c r="G3" s="40" t="s">
        <v>22</v>
      </c>
      <c r="H3" s="138"/>
      <c r="I3" s="355" t="s">
        <v>21</v>
      </c>
      <c r="J3" s="355"/>
      <c r="K3" s="355"/>
      <c r="L3" s="355"/>
      <c r="M3" s="138"/>
      <c r="N3" s="40" t="s">
        <v>22</v>
      </c>
      <c r="O3" s="63"/>
      <c r="P3" s="355" t="s">
        <v>21</v>
      </c>
      <c r="Q3" s="355"/>
      <c r="R3" s="355"/>
      <c r="S3" s="355"/>
      <c r="U3" s="40" t="s">
        <v>22</v>
      </c>
      <c r="W3" s="355" t="s">
        <v>21</v>
      </c>
      <c r="X3" s="355"/>
      <c r="Y3" s="355"/>
      <c r="Z3" s="355"/>
      <c r="AB3" s="40" t="s">
        <v>22</v>
      </c>
      <c r="AD3" s="355" t="s">
        <v>21</v>
      </c>
      <c r="AE3" s="355"/>
      <c r="AF3" s="355"/>
      <c r="AH3" s="40" t="s">
        <v>320</v>
      </c>
    </row>
    <row r="4" spans="1:34" s="7" customFormat="1" ht="30" customHeight="1">
      <c r="A4" s="41" t="s">
        <v>24</v>
      </c>
      <c r="B4" s="42" t="s">
        <v>80</v>
      </c>
      <c r="C4" s="42" t="s">
        <v>81</v>
      </c>
      <c r="D4" s="42" t="s">
        <v>82</v>
      </c>
      <c r="E4" s="42" t="s">
        <v>83</v>
      </c>
      <c r="F4" s="139"/>
      <c r="G4" s="42" t="s">
        <v>83</v>
      </c>
      <c r="H4" s="139"/>
      <c r="I4" s="42" t="s">
        <v>84</v>
      </c>
      <c r="J4" s="42" t="s">
        <v>85</v>
      </c>
      <c r="K4" s="42" t="s">
        <v>86</v>
      </c>
      <c r="L4" s="42" t="s">
        <v>87</v>
      </c>
      <c r="M4" s="139"/>
      <c r="N4" s="42" t="s">
        <v>87</v>
      </c>
      <c r="O4" s="63"/>
      <c r="P4" s="42" t="s">
        <v>88</v>
      </c>
      <c r="Q4" s="42" t="s">
        <v>89</v>
      </c>
      <c r="R4" s="42" t="s">
        <v>90</v>
      </c>
      <c r="S4" s="42" t="s">
        <v>91</v>
      </c>
      <c r="U4" s="42" t="s">
        <v>91</v>
      </c>
      <c r="W4" s="42" t="s">
        <v>23</v>
      </c>
      <c r="X4" s="42" t="s">
        <v>92</v>
      </c>
      <c r="Y4" s="42" t="s">
        <v>93</v>
      </c>
      <c r="Z4" s="42" t="s">
        <v>94</v>
      </c>
      <c r="AB4" s="42" t="s">
        <v>94</v>
      </c>
      <c r="AD4" s="42" t="s">
        <v>95</v>
      </c>
      <c r="AE4" s="42" t="s">
        <v>309</v>
      </c>
      <c r="AF4" s="42" t="s">
        <v>319</v>
      </c>
      <c r="AH4" s="42" t="s">
        <v>319</v>
      </c>
    </row>
    <row r="5" spans="1:34" s="51" customFormat="1" ht="16.75">
      <c r="A5" s="70"/>
    </row>
    <row r="6" spans="1:34" s="51" customFormat="1" ht="16.75">
      <c r="A6" s="70" t="s">
        <v>48</v>
      </c>
      <c r="N6" s="203"/>
      <c r="P6" s="203"/>
      <c r="Q6" s="203"/>
      <c r="R6" s="203"/>
      <c r="S6" s="203"/>
      <c r="U6" s="203"/>
    </row>
    <row r="7" spans="1:34" s="51" customFormat="1" ht="16.75">
      <c r="A7" s="44" t="s">
        <v>150</v>
      </c>
      <c r="B7" s="55">
        <v>32.411999999999999</v>
      </c>
      <c r="C7" s="55">
        <v>30.148</v>
      </c>
      <c r="D7" s="55">
        <v>33.292999999999999</v>
      </c>
      <c r="E7" s="55">
        <v>32.298999999999999</v>
      </c>
      <c r="F7" s="128"/>
      <c r="G7" s="55">
        <f>+B7+C7+D7+E7</f>
        <v>128.15200000000002</v>
      </c>
      <c r="H7" s="128"/>
      <c r="I7" s="55">
        <v>29.148</v>
      </c>
      <c r="J7" s="55">
        <v>31.792000000000002</v>
      </c>
      <c r="K7" s="55">
        <v>31.029</v>
      </c>
      <c r="L7" s="55">
        <v>31.321999999999999</v>
      </c>
      <c r="M7" s="128"/>
      <c r="N7" s="55">
        <f>+I7+J7+K7+L7</f>
        <v>123.291</v>
      </c>
      <c r="P7" s="55">
        <v>30.946999999999999</v>
      </c>
      <c r="Q7" s="55">
        <v>33.956000000000003</v>
      </c>
      <c r="R7" s="55">
        <v>32.941000000000003</v>
      </c>
      <c r="S7" s="55">
        <v>32.799999999999997</v>
      </c>
      <c r="U7" s="55">
        <f>SUM(P7:T7)</f>
        <v>130.64400000000001</v>
      </c>
      <c r="W7" s="55">
        <v>31.782</v>
      </c>
      <c r="X7" s="55">
        <v>34.057000000000002</v>
      </c>
      <c r="Y7" s="55">
        <v>32.084000000000003</v>
      </c>
      <c r="Z7" s="55">
        <v>35.881</v>
      </c>
      <c r="AB7" s="55">
        <f>W7+X7+Y7+Z7</f>
        <v>133.804</v>
      </c>
      <c r="AD7" s="55">
        <v>36.729999999999997</v>
      </c>
      <c r="AE7" s="55">
        <v>35.357999999999997</v>
      </c>
      <c r="AF7" s="55">
        <v>37.735999999999997</v>
      </c>
      <c r="AH7" s="55">
        <f>SUM(AD7:AF7)</f>
        <v>109.82399999999998</v>
      </c>
    </row>
    <row r="8" spans="1:34" s="51" customFormat="1" ht="16.75">
      <c r="A8" s="44" t="s">
        <v>151</v>
      </c>
      <c r="B8" s="79">
        <v>0.17399999999999999</v>
      </c>
      <c r="C8" s="79">
        <v>0.14799999999999999</v>
      </c>
      <c r="D8" s="79">
        <v>0.155</v>
      </c>
      <c r="E8" s="79">
        <v>0.14399999999999999</v>
      </c>
      <c r="F8" s="154"/>
      <c r="G8" s="79">
        <v>0.154</v>
      </c>
      <c r="H8" s="154"/>
      <c r="I8" s="79">
        <v>0.14499999999999999</v>
      </c>
      <c r="J8" s="79">
        <v>0.14799999999999999</v>
      </c>
      <c r="K8" s="79">
        <v>0.13800000000000001</v>
      </c>
      <c r="L8" s="79">
        <v>0.13400000000000001</v>
      </c>
      <c r="M8" s="154"/>
      <c r="N8" s="79">
        <v>0.14099999999999999</v>
      </c>
      <c r="P8" s="79">
        <v>0.14199999999999999</v>
      </c>
      <c r="Q8" s="79">
        <v>0.152</v>
      </c>
      <c r="R8" s="79">
        <v>0.14599999999999999</v>
      </c>
      <c r="S8" s="79">
        <v>0.13900000000000001</v>
      </c>
      <c r="U8" s="79">
        <v>0.14499999999999999</v>
      </c>
      <c r="W8" s="79">
        <v>0.14699999999999999</v>
      </c>
      <c r="X8" s="79">
        <v>0.16200000000000001</v>
      </c>
      <c r="Y8" s="79">
        <v>0.14699999999999999</v>
      </c>
      <c r="Z8" s="79">
        <v>0.13500000000000001</v>
      </c>
      <c r="AA8" s="217"/>
      <c r="AB8" s="79">
        <v>0.14699999999999999</v>
      </c>
      <c r="AD8" s="79">
        <v>0.16600000000000001</v>
      </c>
      <c r="AE8" s="79">
        <v>0.16800000000000001</v>
      </c>
      <c r="AF8" s="79">
        <v>0.16800000000000001</v>
      </c>
      <c r="AH8" s="79">
        <v>0.16800000000000001</v>
      </c>
    </row>
    <row r="9" spans="1:34" s="51" customFormat="1" ht="16.75"/>
    <row r="10" spans="1:34" s="51" customFormat="1" ht="16.75">
      <c r="A10" s="48" t="s">
        <v>111</v>
      </c>
      <c r="B10" s="49">
        <v>-1.173</v>
      </c>
      <c r="C10" s="49">
        <v>-1.496</v>
      </c>
      <c r="D10" s="49">
        <v>-1.2410000000000001</v>
      </c>
      <c r="E10" s="49">
        <v>-8.0000000000000002E-3</v>
      </c>
      <c r="F10" s="140"/>
      <c r="G10" s="49">
        <f t="shared" ref="G10:G18" si="0">+B10+C10+D10+E10</f>
        <v>-3.9180000000000001</v>
      </c>
      <c r="H10" s="140"/>
      <c r="I10" s="49">
        <v>-1.7729999999999999</v>
      </c>
      <c r="J10" s="49">
        <v>-2.0270000000000001</v>
      </c>
      <c r="K10" s="49">
        <v>-1.9490000000000001</v>
      </c>
      <c r="L10" s="49">
        <v>-1.8160000000000001</v>
      </c>
      <c r="M10" s="140"/>
      <c r="N10" s="49">
        <f t="shared" ref="N10:N18" si="1">+I10+J10+K10+L10</f>
        <v>-7.5649999999999995</v>
      </c>
      <c r="P10" s="49">
        <v>-2.419</v>
      </c>
      <c r="Q10" s="49">
        <v>-4.4189999999999996</v>
      </c>
      <c r="R10" s="49">
        <v>-3.5329999999999999</v>
      </c>
      <c r="S10" s="49">
        <v>-2.2050000000000001</v>
      </c>
      <c r="U10" s="49">
        <f t="shared" ref="U10:U15" si="2">SUM(P10:T10)</f>
        <v>-12.575999999999999</v>
      </c>
      <c r="W10" s="49">
        <v>-2.327</v>
      </c>
      <c r="X10" s="49">
        <v>-3.4660000000000002</v>
      </c>
      <c r="Y10" s="49">
        <v>-3.0249999999999999</v>
      </c>
      <c r="Z10" s="49">
        <v>-3.1</v>
      </c>
      <c r="AB10" s="49">
        <f t="shared" ref="AB10:AB17" si="3">W10+X10+Y10+Z10</f>
        <v>-11.917999999999999</v>
      </c>
      <c r="AD10" s="49">
        <v>-3.5430000000000001</v>
      </c>
      <c r="AE10" s="49">
        <v>-4.4640000000000004</v>
      </c>
      <c r="AF10" s="49">
        <v>-3.097</v>
      </c>
      <c r="AH10" s="49">
        <f>SUM(AD10:AF10)</f>
        <v>-11.104000000000001</v>
      </c>
    </row>
    <row r="11" spans="1:34" s="51" customFormat="1" ht="16.75">
      <c r="A11" s="58" t="s">
        <v>152</v>
      </c>
      <c r="B11" s="49">
        <v>-0.20100000000000001</v>
      </c>
      <c r="C11" s="49">
        <v>-0.02</v>
      </c>
      <c r="D11" s="49">
        <v>-2.8000000000000001E-2</v>
      </c>
      <c r="E11" s="49">
        <v>-2.5999999999999999E-2</v>
      </c>
      <c r="F11" s="140"/>
      <c r="G11" s="49">
        <f t="shared" si="0"/>
        <v>-0.27500000000000002</v>
      </c>
      <c r="H11" s="140"/>
      <c r="I11" s="49">
        <v>-2.4E-2</v>
      </c>
      <c r="J11" s="49">
        <v>-5.6000000000000001E-2</v>
      </c>
      <c r="K11" s="49">
        <v>-0.192</v>
      </c>
      <c r="L11" s="49">
        <v>-0.24299999999999999</v>
      </c>
      <c r="M11" s="140"/>
      <c r="N11" s="49">
        <f t="shared" si="1"/>
        <v>-0.51500000000000001</v>
      </c>
      <c r="P11" s="49">
        <v>-0.19800000000000001</v>
      </c>
      <c r="Q11" s="49">
        <v>0</v>
      </c>
      <c r="R11" s="49">
        <v>0</v>
      </c>
      <c r="S11" s="49">
        <v>0</v>
      </c>
      <c r="U11" s="49">
        <f t="shared" si="2"/>
        <v>-0.19800000000000001</v>
      </c>
      <c r="W11" s="49">
        <v>-5.6000000000000001E-2</v>
      </c>
      <c r="X11" s="49">
        <v>-0.02</v>
      </c>
      <c r="Y11" s="49">
        <v>-0.02</v>
      </c>
      <c r="Z11" s="49">
        <v>-0.02</v>
      </c>
      <c r="AB11" s="49">
        <f t="shared" si="3"/>
        <v>-0.11600000000000001</v>
      </c>
      <c r="AD11" s="49">
        <v>0</v>
      </c>
      <c r="AE11" s="49">
        <v>-3.5000000000000003E-2</v>
      </c>
      <c r="AF11" s="49">
        <v>-0.16600000000000001</v>
      </c>
      <c r="AH11" s="49">
        <f t="shared" ref="AH11:AH16" si="4">SUM(AD11:AF11)</f>
        <v>-0.20100000000000001</v>
      </c>
    </row>
    <row r="12" spans="1:34" s="51" customFormat="1" ht="16.75">
      <c r="A12" s="48" t="s">
        <v>113</v>
      </c>
      <c r="B12" s="77">
        <v>-0.92700000000000005</v>
      </c>
      <c r="C12" s="77">
        <v>-0.21299999999999999</v>
      </c>
      <c r="D12" s="77">
        <v>-8.9999999999999993E-3</v>
      </c>
      <c r="E12" s="77">
        <v>-0.22700000000000001</v>
      </c>
      <c r="F12" s="78"/>
      <c r="G12" s="77">
        <f t="shared" si="0"/>
        <v>-1.3760000000000001</v>
      </c>
      <c r="H12" s="78"/>
      <c r="I12" s="77">
        <v>-0.184</v>
      </c>
      <c r="J12" s="77">
        <v>-0.129</v>
      </c>
      <c r="K12" s="77">
        <v>-9.7000000000000003E-2</v>
      </c>
      <c r="L12" s="77">
        <f>0</f>
        <v>0</v>
      </c>
      <c r="M12" s="78"/>
      <c r="N12" s="77">
        <f t="shared" si="1"/>
        <v>-0.41000000000000003</v>
      </c>
      <c r="P12" s="77">
        <v>-0.13700000000000001</v>
      </c>
      <c r="Q12" s="77">
        <v>0</v>
      </c>
      <c r="R12" s="77">
        <v>-0.50900000000000001</v>
      </c>
      <c r="S12" s="77">
        <v>-1.458</v>
      </c>
      <c r="U12" s="77">
        <f t="shared" si="2"/>
        <v>-2.1040000000000001</v>
      </c>
      <c r="W12" s="77">
        <v>-0.13800000000000001</v>
      </c>
      <c r="X12" s="77">
        <v>-0.17699999999999999</v>
      </c>
      <c r="Y12" s="77">
        <v>-1E-3</v>
      </c>
      <c r="Z12" s="77">
        <v>-2E-3</v>
      </c>
      <c r="AB12" s="77">
        <f t="shared" si="3"/>
        <v>-0.318</v>
      </c>
      <c r="AD12" s="77">
        <v>-1.464</v>
      </c>
      <c r="AE12" s="77">
        <v>-0.152</v>
      </c>
      <c r="AF12" s="77">
        <v>-0.377</v>
      </c>
      <c r="AH12" s="77">
        <f t="shared" si="4"/>
        <v>-1.9929999999999999</v>
      </c>
    </row>
    <row r="13" spans="1:34" s="51" customFormat="1" ht="16.75">
      <c r="A13" s="48" t="s">
        <v>114</v>
      </c>
      <c r="B13" s="77">
        <v>0</v>
      </c>
      <c r="C13" s="77">
        <v>0</v>
      </c>
      <c r="D13" s="77">
        <v>0</v>
      </c>
      <c r="E13" s="77">
        <v>0</v>
      </c>
      <c r="F13" s="78"/>
      <c r="G13" s="77">
        <f t="shared" si="0"/>
        <v>0</v>
      </c>
      <c r="H13" s="78"/>
      <c r="I13" s="77">
        <v>-0.45700000000000002</v>
      </c>
      <c r="J13" s="77">
        <v>-0.01</v>
      </c>
      <c r="K13" s="77">
        <v>0</v>
      </c>
      <c r="L13" s="77">
        <v>0</v>
      </c>
      <c r="M13" s="78"/>
      <c r="N13" s="77">
        <f t="shared" si="1"/>
        <v>-0.46700000000000003</v>
      </c>
      <c r="P13" s="77">
        <v>0</v>
      </c>
      <c r="Q13" s="77">
        <v>0</v>
      </c>
      <c r="R13" s="77">
        <v>0</v>
      </c>
      <c r="S13" s="77">
        <v>0</v>
      </c>
      <c r="U13" s="77">
        <f t="shared" si="2"/>
        <v>0</v>
      </c>
      <c r="W13" s="77">
        <v>0</v>
      </c>
      <c r="X13" s="77">
        <v>0</v>
      </c>
      <c r="Y13" s="77">
        <v>0</v>
      </c>
      <c r="Z13" s="77">
        <v>0</v>
      </c>
      <c r="AB13" s="77">
        <f t="shared" si="3"/>
        <v>0</v>
      </c>
      <c r="AD13" s="77">
        <v>0</v>
      </c>
      <c r="AE13" s="77">
        <v>0</v>
      </c>
      <c r="AF13" s="77">
        <v>0</v>
      </c>
      <c r="AH13" s="77">
        <f t="shared" si="4"/>
        <v>0</v>
      </c>
    </row>
    <row r="14" spans="1:34" s="51" customFormat="1" ht="16.75">
      <c r="A14" s="51" t="s">
        <v>153</v>
      </c>
      <c r="B14" s="77">
        <v>0</v>
      </c>
      <c r="C14" s="77">
        <v>0</v>
      </c>
      <c r="D14" s="77">
        <v>0</v>
      </c>
      <c r="E14" s="77">
        <v>0</v>
      </c>
      <c r="F14" s="78"/>
      <c r="G14" s="77">
        <v>0</v>
      </c>
      <c r="H14" s="78"/>
      <c r="I14" s="77">
        <v>0</v>
      </c>
      <c r="J14" s="77">
        <v>0</v>
      </c>
      <c r="K14" s="77">
        <v>0</v>
      </c>
      <c r="L14" s="77">
        <v>0</v>
      </c>
      <c r="M14" s="78"/>
      <c r="N14" s="77">
        <f t="shared" si="1"/>
        <v>0</v>
      </c>
      <c r="P14" s="77">
        <v>0</v>
      </c>
      <c r="Q14" s="77">
        <v>0</v>
      </c>
      <c r="R14" s="77">
        <v>0</v>
      </c>
      <c r="S14" s="77">
        <v>0</v>
      </c>
      <c r="U14" s="77">
        <f t="shared" si="2"/>
        <v>0</v>
      </c>
      <c r="W14" s="77">
        <v>0</v>
      </c>
      <c r="X14" s="77">
        <v>-1.6479999999999999</v>
      </c>
      <c r="Y14" s="77">
        <v>0</v>
      </c>
      <c r="Z14" s="77">
        <v>-2.8000000000000001E-2</v>
      </c>
      <c r="AB14" s="77">
        <f t="shared" si="3"/>
        <v>-1.6759999999999999</v>
      </c>
      <c r="AD14" s="77">
        <v>0</v>
      </c>
      <c r="AE14" s="77">
        <v>0</v>
      </c>
      <c r="AF14" s="77">
        <v>0</v>
      </c>
      <c r="AH14" s="77">
        <f t="shared" si="4"/>
        <v>0</v>
      </c>
    </row>
    <row r="15" spans="1:34" s="51" customFormat="1" ht="16.75">
      <c r="A15" s="48" t="s">
        <v>154</v>
      </c>
      <c r="B15" s="77">
        <v>0</v>
      </c>
      <c r="C15" s="77">
        <v>0</v>
      </c>
      <c r="D15" s="77">
        <v>-4.2999999999999997E-2</v>
      </c>
      <c r="E15" s="77">
        <v>-1E-3</v>
      </c>
      <c r="F15" s="78"/>
      <c r="G15" s="77">
        <f t="shared" si="0"/>
        <v>-4.3999999999999997E-2</v>
      </c>
      <c r="H15" s="78"/>
      <c r="I15" s="77">
        <v>0</v>
      </c>
      <c r="J15" s="77">
        <v>0</v>
      </c>
      <c r="K15" s="77">
        <v>0</v>
      </c>
      <c r="L15" s="77">
        <v>0</v>
      </c>
      <c r="M15" s="78"/>
      <c r="N15" s="77">
        <f t="shared" si="1"/>
        <v>0</v>
      </c>
      <c r="P15" s="77">
        <v>-2.5000000000000001E-2</v>
      </c>
      <c r="Q15" s="77">
        <v>-2.5000000000000001E-2</v>
      </c>
      <c r="R15" s="77">
        <v>-1.7000000000000001E-2</v>
      </c>
      <c r="S15" s="77">
        <v>-5.2999999999999999E-2</v>
      </c>
      <c r="U15" s="77">
        <f t="shared" si="2"/>
        <v>-0.12</v>
      </c>
      <c r="W15" s="77">
        <v>-5.0000000000000001E-3</v>
      </c>
      <c r="X15" s="77">
        <v>5.0000000000000001E-3</v>
      </c>
      <c r="Y15" s="77">
        <v>0</v>
      </c>
      <c r="Z15" s="77">
        <v>0</v>
      </c>
      <c r="AB15" s="77">
        <f t="shared" si="3"/>
        <v>0</v>
      </c>
      <c r="AD15" s="77">
        <v>0</v>
      </c>
      <c r="AE15" s="77">
        <v>0</v>
      </c>
      <c r="AF15" s="77">
        <v>0</v>
      </c>
      <c r="AH15" s="77">
        <f t="shared" si="4"/>
        <v>0</v>
      </c>
    </row>
    <row r="16" spans="1:34" s="51" customFormat="1" ht="16.75">
      <c r="A16" s="48" t="s">
        <v>116</v>
      </c>
      <c r="B16" s="77">
        <v>-4.5209999999999999</v>
      </c>
      <c r="C16" s="77">
        <v>-3.9729999999999999</v>
      </c>
      <c r="D16" s="77">
        <v>-4.242</v>
      </c>
      <c r="E16" s="77">
        <v>-4.1929999999999996</v>
      </c>
      <c r="F16" s="78"/>
      <c r="G16" s="77">
        <f t="shared" si="0"/>
        <v>-16.929000000000002</v>
      </c>
      <c r="H16" s="78"/>
      <c r="I16" s="77">
        <v>0</v>
      </c>
      <c r="J16" s="77">
        <v>0</v>
      </c>
      <c r="K16" s="77">
        <v>0</v>
      </c>
      <c r="L16" s="77">
        <v>0</v>
      </c>
      <c r="M16" s="78"/>
      <c r="N16" s="77">
        <f t="shared" si="1"/>
        <v>0</v>
      </c>
      <c r="P16" s="77">
        <v>0</v>
      </c>
      <c r="Q16" s="77">
        <v>0</v>
      </c>
      <c r="R16" s="77">
        <v>0</v>
      </c>
      <c r="S16" s="77">
        <v>0</v>
      </c>
      <c r="U16" s="77">
        <v>0</v>
      </c>
      <c r="W16" s="77">
        <v>0</v>
      </c>
      <c r="X16" s="77">
        <v>0</v>
      </c>
      <c r="Y16" s="77">
        <v>0</v>
      </c>
      <c r="Z16" s="77">
        <v>0</v>
      </c>
      <c r="AB16" s="77">
        <f t="shared" si="3"/>
        <v>0</v>
      </c>
      <c r="AD16" s="77">
        <v>0</v>
      </c>
      <c r="AE16" s="77">
        <v>0</v>
      </c>
      <c r="AF16" s="77">
        <v>0</v>
      </c>
      <c r="AH16" s="77">
        <f t="shared" si="4"/>
        <v>0</v>
      </c>
    </row>
    <row r="17" spans="1:34" s="51" customFormat="1" ht="16.75">
      <c r="A17" s="48" t="s">
        <v>117</v>
      </c>
      <c r="B17" s="74">
        <v>2.202</v>
      </c>
      <c r="C17" s="74">
        <v>1.829</v>
      </c>
      <c r="D17" s="74">
        <v>1.494</v>
      </c>
      <c r="E17" s="74">
        <v>1.911</v>
      </c>
      <c r="F17" s="78"/>
      <c r="G17" s="74">
        <f t="shared" si="0"/>
        <v>7.4359999999999999</v>
      </c>
      <c r="H17" s="78"/>
      <c r="I17" s="74">
        <v>0</v>
      </c>
      <c r="J17" s="74">
        <v>0</v>
      </c>
      <c r="K17" s="74">
        <v>0</v>
      </c>
      <c r="L17" s="74">
        <v>0</v>
      </c>
      <c r="M17" s="78"/>
      <c r="N17" s="74">
        <f t="shared" si="1"/>
        <v>0</v>
      </c>
      <c r="P17" s="74">
        <v>0</v>
      </c>
      <c r="Q17" s="74">
        <v>0</v>
      </c>
      <c r="R17" s="74">
        <v>0</v>
      </c>
      <c r="S17" s="74">
        <v>0</v>
      </c>
      <c r="U17" s="74">
        <v>0</v>
      </c>
      <c r="W17" s="74">
        <v>0</v>
      </c>
      <c r="X17" s="74">
        <v>0</v>
      </c>
      <c r="Y17" s="74">
        <v>0</v>
      </c>
      <c r="Z17" s="74">
        <v>0</v>
      </c>
      <c r="AB17" s="74">
        <f t="shared" si="3"/>
        <v>0</v>
      </c>
      <c r="AD17" s="74">
        <v>0</v>
      </c>
      <c r="AE17" s="74">
        <v>0</v>
      </c>
      <c r="AF17" s="74">
        <v>0</v>
      </c>
      <c r="AH17" s="74">
        <f>SUM(AD17:AF17)</f>
        <v>0</v>
      </c>
    </row>
    <row r="18" spans="1:34" s="51" customFormat="1" ht="16.75">
      <c r="A18" s="80" t="s">
        <v>155</v>
      </c>
      <c r="B18" s="81">
        <f>SUM(B10:B17)+B7</f>
        <v>27.791999999999998</v>
      </c>
      <c r="C18" s="81">
        <f>SUM(C10:C17)+C7</f>
        <v>26.274999999999999</v>
      </c>
      <c r="D18" s="81">
        <f>SUM(D10:D17)+D7</f>
        <v>29.224</v>
      </c>
      <c r="E18" s="81">
        <f>SUM(E10:E17)+E7</f>
        <v>29.754999999999999</v>
      </c>
      <c r="F18" s="155"/>
      <c r="G18" s="81">
        <f t="shared" si="0"/>
        <v>113.04599999999999</v>
      </c>
      <c r="H18" s="155"/>
      <c r="I18" s="81">
        <f>SUM(I10:I17)+I7</f>
        <v>26.71</v>
      </c>
      <c r="J18" s="81">
        <f>SUM(J10:J17)+J7</f>
        <v>29.57</v>
      </c>
      <c r="K18" s="81">
        <f>SUM(K10:K17)+K7</f>
        <v>28.791</v>
      </c>
      <c r="L18" s="81">
        <f>SUM(L10:L17)+L7</f>
        <v>29.262999999999998</v>
      </c>
      <c r="M18" s="155"/>
      <c r="N18" s="81">
        <f t="shared" si="1"/>
        <v>114.334</v>
      </c>
      <c r="P18" s="81">
        <f>SUM(P10:P17)+P7</f>
        <v>28.167999999999999</v>
      </c>
      <c r="Q18" s="81">
        <f>SUM(Q10:Q17)+Q7</f>
        <v>29.512000000000004</v>
      </c>
      <c r="R18" s="81">
        <f>SUM(R10:R17)+R7</f>
        <v>28.882000000000001</v>
      </c>
      <c r="S18" s="81">
        <f>SUM(S10:S17)+S7</f>
        <v>29.083999999999996</v>
      </c>
      <c r="T18" s="216"/>
      <c r="U18" s="81">
        <f>SUM(P18:T18)</f>
        <v>115.64600000000002</v>
      </c>
      <c r="W18" s="81">
        <f>SUM(W10:W17)+W7</f>
        <v>29.256</v>
      </c>
      <c r="X18" s="81">
        <f>SUM(X10:X17)+X7</f>
        <v>28.751000000000001</v>
      </c>
      <c r="Y18" s="81">
        <f>SUM(Y10:Y17)+Y7</f>
        <v>29.038000000000004</v>
      </c>
      <c r="Z18" s="81">
        <f>SUM(Z10:Z17)+Z7</f>
        <v>32.731000000000002</v>
      </c>
      <c r="AB18" s="81">
        <f>SUM(AB10:AB17)+AB7</f>
        <v>119.77600000000001</v>
      </c>
      <c r="AD18" s="81">
        <f>SUM(AD10:AD17)+AD7</f>
        <v>31.722999999999999</v>
      </c>
      <c r="AE18" s="81">
        <f>SUM(AE10:AE17)+AE7</f>
        <v>30.706999999999997</v>
      </c>
      <c r="AF18" s="81">
        <f>SUM(AF10:AF17)+AF7</f>
        <v>34.095999999999997</v>
      </c>
      <c r="AH18" s="81">
        <f>SUM(AH10:AH17)+AH7</f>
        <v>96.525999999999982</v>
      </c>
    </row>
    <row r="19" spans="1:34" s="51" customFormat="1" ht="16.75">
      <c r="A19" s="44" t="s">
        <v>156</v>
      </c>
      <c r="B19" s="79">
        <v>0.14699999999999999</v>
      </c>
      <c r="C19" s="79">
        <v>0.127</v>
      </c>
      <c r="D19" s="79">
        <v>0.13400000000000001</v>
      </c>
      <c r="E19" s="79">
        <v>0.13100000000000001</v>
      </c>
      <c r="F19" s="154"/>
      <c r="G19" s="79">
        <v>0.13400000000000001</v>
      </c>
      <c r="H19" s="154"/>
      <c r="I19" s="79">
        <v>0.13200000000000001</v>
      </c>
      <c r="J19" s="79">
        <v>0.13700000000000001</v>
      </c>
      <c r="K19" s="79">
        <v>0.127</v>
      </c>
      <c r="L19" s="79">
        <v>0.124</v>
      </c>
      <c r="M19" s="154"/>
      <c r="N19" s="79">
        <v>0.13</v>
      </c>
      <c r="P19" s="79">
        <v>0.128</v>
      </c>
      <c r="Q19" s="79">
        <v>0.13200000000000001</v>
      </c>
      <c r="R19" s="79">
        <v>0.128</v>
      </c>
      <c r="S19" s="79">
        <v>0.123</v>
      </c>
      <c r="U19" s="79">
        <v>0.128</v>
      </c>
      <c r="W19" s="79">
        <v>0.13500000000000001</v>
      </c>
      <c r="X19" s="79">
        <v>0.13700000000000001</v>
      </c>
      <c r="Y19" s="79">
        <v>0.13300000000000001</v>
      </c>
      <c r="Z19" s="79">
        <v>0.123</v>
      </c>
      <c r="AA19" s="217"/>
      <c r="AB19" s="79">
        <v>0.13100000000000001</v>
      </c>
      <c r="AD19" s="79">
        <v>0.14299999999999999</v>
      </c>
      <c r="AE19" s="79">
        <v>0.14599999999999999</v>
      </c>
      <c r="AF19" s="79">
        <v>0.152</v>
      </c>
      <c r="AH19" s="79">
        <v>0.14699999999999999</v>
      </c>
    </row>
    <row r="20" spans="1:34" s="51" customFormat="1" ht="16.75">
      <c r="A20" s="80"/>
      <c r="B20" s="55"/>
      <c r="C20" s="55"/>
      <c r="D20" s="55"/>
      <c r="E20" s="55"/>
      <c r="F20" s="128"/>
      <c r="G20" s="55"/>
      <c r="H20" s="128"/>
      <c r="I20" s="55"/>
      <c r="J20" s="55"/>
      <c r="K20" s="55"/>
      <c r="L20" s="55"/>
      <c r="M20" s="128"/>
      <c r="N20" s="55"/>
      <c r="P20" s="55"/>
      <c r="Q20" s="55"/>
      <c r="R20" s="55"/>
      <c r="S20" s="55"/>
      <c r="U20" s="55"/>
      <c r="W20" s="55"/>
      <c r="X20" s="55"/>
      <c r="Y20" s="55"/>
      <c r="Z20" s="55"/>
      <c r="AB20" s="269"/>
      <c r="AD20" s="55"/>
      <c r="AE20" s="55"/>
      <c r="AF20" s="55"/>
      <c r="AH20" s="269"/>
    </row>
    <row r="21" spans="1:34" s="51" customFormat="1" ht="16.75"/>
    <row r="22" spans="1:34" s="51" customFormat="1" ht="16.75">
      <c r="A22" s="70" t="s">
        <v>157</v>
      </c>
    </row>
    <row r="23" spans="1:34" s="51" customFormat="1" ht="16.75">
      <c r="A23" s="80" t="s">
        <v>158</v>
      </c>
      <c r="B23" s="55">
        <v>76.826999999999998</v>
      </c>
      <c r="C23" s="55">
        <v>77.739000000000004</v>
      </c>
      <c r="D23" s="55">
        <v>80.167000000000002</v>
      </c>
      <c r="E23" s="55">
        <v>92.611999999999995</v>
      </c>
      <c r="F23" s="128"/>
      <c r="G23" s="55">
        <f>+B23+C23+D23+E23</f>
        <v>327.34500000000003</v>
      </c>
      <c r="H23" s="144"/>
      <c r="I23" s="55">
        <v>87.646000000000001</v>
      </c>
      <c r="J23" s="55">
        <v>91.376000000000005</v>
      </c>
      <c r="K23" s="55">
        <v>89.778000000000006</v>
      </c>
      <c r="L23" s="55">
        <v>108.008</v>
      </c>
      <c r="M23" s="144"/>
      <c r="N23" s="55">
        <f>+I23+J23+K23+L23</f>
        <v>376.80799999999999</v>
      </c>
      <c r="P23" s="55">
        <v>102.88200000000001</v>
      </c>
      <c r="Q23" s="55">
        <v>105.705</v>
      </c>
      <c r="R23" s="55">
        <v>93.757000000000005</v>
      </c>
      <c r="S23" s="55">
        <v>90.594999999999999</v>
      </c>
      <c r="U23" s="55">
        <f>SUM(P23:T23)</f>
        <v>392.93899999999996</v>
      </c>
      <c r="W23" s="55">
        <v>101.279</v>
      </c>
      <c r="X23" s="55">
        <v>108.374</v>
      </c>
      <c r="Y23" s="55">
        <v>87.879000000000005</v>
      </c>
      <c r="Z23" s="55">
        <v>108.383</v>
      </c>
      <c r="AB23" s="55">
        <f>W23+X23+Y23+Z23</f>
        <v>405.91499999999996</v>
      </c>
      <c r="AD23" s="55">
        <v>93.275999999999996</v>
      </c>
      <c r="AE23" s="55">
        <v>93.177999999999997</v>
      </c>
      <c r="AF23" s="55">
        <v>95.986999999999995</v>
      </c>
      <c r="AH23" s="55">
        <f>SUM(AD23:AF23)</f>
        <v>282.44100000000003</v>
      </c>
    </row>
    <row r="24" spans="1:34" s="51" customFormat="1" ht="16.75">
      <c r="A24" s="44" t="s">
        <v>151</v>
      </c>
      <c r="B24" s="79">
        <v>0.41299999999999998</v>
      </c>
      <c r="C24" s="79">
        <v>0.38100000000000001</v>
      </c>
      <c r="D24" s="79">
        <v>0.372</v>
      </c>
      <c r="E24" s="79">
        <v>0.41099999999999998</v>
      </c>
      <c r="F24" s="154"/>
      <c r="G24" s="79">
        <v>0.39400000000000002</v>
      </c>
      <c r="H24" s="154"/>
      <c r="I24" s="79">
        <v>0.436</v>
      </c>
      <c r="J24" s="79">
        <v>0.42599999999999999</v>
      </c>
      <c r="K24" s="79">
        <v>0.39900000000000002</v>
      </c>
      <c r="L24" s="79">
        <v>0.46100000000000002</v>
      </c>
      <c r="M24" s="154"/>
      <c r="N24" s="79">
        <v>0.43099999999999999</v>
      </c>
      <c r="P24" s="79">
        <v>0.47199999999999998</v>
      </c>
      <c r="Q24" s="79">
        <v>0.47399999999999998</v>
      </c>
      <c r="R24" s="79">
        <v>0.41599999999999998</v>
      </c>
      <c r="S24" s="79">
        <v>0.38300000000000001</v>
      </c>
      <c r="U24" s="79">
        <v>0.436</v>
      </c>
      <c r="W24" s="79">
        <v>0.46800000000000003</v>
      </c>
      <c r="X24" s="79">
        <v>0.51600000000000001</v>
      </c>
      <c r="Y24" s="79">
        <v>0.40200000000000002</v>
      </c>
      <c r="Z24" s="79">
        <v>0.40899999999999997</v>
      </c>
      <c r="AA24" s="217"/>
      <c r="AB24" s="79">
        <v>0.44600000000000001</v>
      </c>
      <c r="AD24" s="79">
        <v>0.42199999999999999</v>
      </c>
      <c r="AE24" s="79">
        <v>0.443</v>
      </c>
      <c r="AF24" s="79">
        <v>0.42799999999999999</v>
      </c>
      <c r="AH24" s="79">
        <v>0.43099999999999999</v>
      </c>
    </row>
    <row r="25" spans="1:34" s="51" customFormat="1" ht="16.75">
      <c r="B25" s="82"/>
      <c r="C25" s="82"/>
      <c r="D25" s="82"/>
      <c r="E25" s="82"/>
      <c r="F25" s="82"/>
      <c r="G25" s="82"/>
      <c r="H25" s="82"/>
      <c r="I25" s="82"/>
      <c r="J25" s="82"/>
      <c r="K25" s="82"/>
      <c r="L25" s="82"/>
      <c r="M25" s="82"/>
      <c r="N25" s="82"/>
      <c r="P25" s="82"/>
      <c r="Q25" s="82"/>
      <c r="R25" s="82"/>
      <c r="S25" s="82"/>
      <c r="U25" s="82"/>
      <c r="W25" s="82"/>
      <c r="X25" s="82"/>
      <c r="Y25" s="82"/>
      <c r="Z25" s="82"/>
      <c r="AB25" s="82"/>
      <c r="AD25" s="82"/>
      <c r="AE25" s="82"/>
      <c r="AF25" s="82"/>
      <c r="AH25" s="82"/>
    </row>
    <row r="26" spans="1:34" s="51" customFormat="1" ht="16.75">
      <c r="A26" s="48" t="s">
        <v>111</v>
      </c>
      <c r="B26" s="49">
        <v>-8.968</v>
      </c>
      <c r="C26" s="49">
        <v>-10.676</v>
      </c>
      <c r="D26" s="49">
        <v>-12.535</v>
      </c>
      <c r="E26" s="49">
        <v>-5.81</v>
      </c>
      <c r="F26" s="140"/>
      <c r="G26" s="49">
        <f t="shared" ref="G26:G36" si="5">+B26+C26+D26+E26</f>
        <v>-37.989000000000004</v>
      </c>
      <c r="H26" s="140"/>
      <c r="I26" s="49">
        <v>-13.366</v>
      </c>
      <c r="J26" s="49">
        <v>-14.64</v>
      </c>
      <c r="K26" s="49">
        <v>-13.416</v>
      </c>
      <c r="L26" s="49">
        <v>-11.25</v>
      </c>
      <c r="M26" s="140"/>
      <c r="N26" s="49">
        <f t="shared" ref="N26:N36" si="6">+I26+J26+K26+L26</f>
        <v>-52.671999999999997</v>
      </c>
      <c r="P26" s="49">
        <v>-14.785</v>
      </c>
      <c r="Q26" s="49">
        <v>-19.524000000000001</v>
      </c>
      <c r="R26" s="49">
        <v>-15.037000000000001</v>
      </c>
      <c r="S26" s="49">
        <v>-8.5299999999999994</v>
      </c>
      <c r="U26" s="49">
        <f t="shared" ref="U26:U33" si="7">SUM(P26:T26)</f>
        <v>-57.875999999999998</v>
      </c>
      <c r="W26" s="49">
        <v>-12.215999999999999</v>
      </c>
      <c r="X26" s="49">
        <v>-14.279</v>
      </c>
      <c r="Y26" s="49">
        <v>-12.068</v>
      </c>
      <c r="Z26" s="49">
        <v>-12.987</v>
      </c>
      <c r="AB26" s="49">
        <f t="shared" ref="AB26:AB35" si="8">W26+X26+Y26+Z26</f>
        <v>-51.55</v>
      </c>
      <c r="AD26" s="49">
        <v>-13.396000000000001</v>
      </c>
      <c r="AE26" s="49">
        <v>-17.108000000000001</v>
      </c>
      <c r="AF26" s="49">
        <v>-14.084</v>
      </c>
      <c r="AH26" s="49">
        <f t="shared" ref="AH26:AH34" si="9">SUM(AD26:AF26)</f>
        <v>-44.588000000000001</v>
      </c>
    </row>
    <row r="27" spans="1:34" s="51" customFormat="1" ht="16.75">
      <c r="A27" s="58" t="s">
        <v>159</v>
      </c>
      <c r="B27" s="49">
        <v>3.7429999999999999</v>
      </c>
      <c r="C27" s="49">
        <v>-3.141</v>
      </c>
      <c r="D27" s="49">
        <v>-0.53800000000000003</v>
      </c>
      <c r="E27" s="49">
        <v>-2.851</v>
      </c>
      <c r="F27" s="140"/>
      <c r="G27" s="49">
        <f t="shared" si="5"/>
        <v>-2.7869999999999999</v>
      </c>
      <c r="H27" s="140"/>
      <c r="I27" s="49">
        <v>-1.6439999999999999</v>
      </c>
      <c r="J27" s="49">
        <v>-3.343</v>
      </c>
      <c r="K27" s="49">
        <v>-2.4940000000000002</v>
      </c>
      <c r="L27" s="49">
        <v>-2.08</v>
      </c>
      <c r="M27" s="140"/>
      <c r="N27" s="49">
        <f t="shared" si="6"/>
        <v>-9.5609999999999999</v>
      </c>
      <c r="P27" s="49">
        <v>-1.375</v>
      </c>
      <c r="Q27" s="49">
        <v>-0.114</v>
      </c>
      <c r="R27" s="49">
        <v>-1.1719999999999999</v>
      </c>
      <c r="S27" s="49">
        <v>1.3460000000000001</v>
      </c>
      <c r="U27" s="49">
        <f t="shared" si="7"/>
        <v>-1.3149999999999999</v>
      </c>
      <c r="W27" s="49">
        <v>-7.7030000000000003</v>
      </c>
      <c r="X27" s="49">
        <v>1.825</v>
      </c>
      <c r="Y27" s="49">
        <v>0.20699999999999999</v>
      </c>
      <c r="Z27" s="49">
        <v>-10.071999999999999</v>
      </c>
      <c r="AB27" s="49">
        <f t="shared" si="8"/>
        <v>-15.742999999999999</v>
      </c>
      <c r="AD27" s="49">
        <v>-0.20499999999999999</v>
      </c>
      <c r="AE27" s="49">
        <v>-0.84499999999999997</v>
      </c>
      <c r="AF27" s="49">
        <v>-1.0469999999999999</v>
      </c>
      <c r="AH27" s="49">
        <f t="shared" si="9"/>
        <v>-2.097</v>
      </c>
    </row>
    <row r="28" spans="1:34" s="51" customFormat="1" ht="16.75">
      <c r="A28" s="48" t="s">
        <v>113</v>
      </c>
      <c r="B28" s="49">
        <f>-2.018-B30</f>
        <v>-2.0179999999999998</v>
      </c>
      <c r="C28" s="49">
        <v>-0.49</v>
      </c>
      <c r="D28" s="49">
        <f>-0.292-D30</f>
        <v>-0.10699999999999998</v>
      </c>
      <c r="E28" s="49">
        <f>-3.155-E30</f>
        <v>-0.94</v>
      </c>
      <c r="F28" s="140"/>
      <c r="G28" s="49">
        <f t="shared" si="5"/>
        <v>-3.5550000000000002</v>
      </c>
      <c r="H28" s="140"/>
      <c r="I28" s="49">
        <f>-0.609-I30</f>
        <v>-0.59299999999999997</v>
      </c>
      <c r="J28" s="49">
        <f>-1.914-J30</f>
        <v>-0.44599999999999995</v>
      </c>
      <c r="K28" s="49">
        <f>-0.679-K30</f>
        <v>-0.14000000000000001</v>
      </c>
      <c r="L28" s="49">
        <f>-11.353-L30</f>
        <v>-3.5819999999999999</v>
      </c>
      <c r="M28" s="140"/>
      <c r="N28" s="49">
        <f t="shared" si="6"/>
        <v>-4.7609999999999992</v>
      </c>
      <c r="P28" s="49">
        <v>-2.6739999999999999</v>
      </c>
      <c r="Q28" s="49">
        <v>-3.8090000000000002</v>
      </c>
      <c r="R28" s="49">
        <v>-1.3240000000000001</v>
      </c>
      <c r="S28" s="49">
        <v>-2.99</v>
      </c>
      <c r="U28" s="49">
        <f t="shared" si="7"/>
        <v>-10.797000000000001</v>
      </c>
      <c r="W28" s="49">
        <v>-1.004</v>
      </c>
      <c r="X28" s="49">
        <v>-1.85</v>
      </c>
      <c r="Y28" s="49">
        <v>-0.48299999999999998</v>
      </c>
      <c r="Z28" s="49">
        <v>-1.2430000000000001</v>
      </c>
      <c r="AB28" s="49">
        <f t="shared" si="8"/>
        <v>-4.58</v>
      </c>
      <c r="AD28" s="49">
        <v>-1.133</v>
      </c>
      <c r="AE28" s="49">
        <v>-0.42799999999999999</v>
      </c>
      <c r="AF28" s="49">
        <v>-0.44900000000000001</v>
      </c>
      <c r="AH28" s="49">
        <f t="shared" si="9"/>
        <v>-2.0099999999999998</v>
      </c>
    </row>
    <row r="29" spans="1:34" s="51" customFormat="1" ht="16.75">
      <c r="A29" s="48" t="s">
        <v>114</v>
      </c>
      <c r="B29" s="49">
        <v>0</v>
      </c>
      <c r="C29" s="49">
        <v>0</v>
      </c>
      <c r="D29" s="49">
        <v>0</v>
      </c>
      <c r="E29" s="49">
        <v>0</v>
      </c>
      <c r="F29" s="140"/>
      <c r="G29" s="49">
        <f t="shared" si="5"/>
        <v>0</v>
      </c>
      <c r="H29" s="140"/>
      <c r="I29" s="49">
        <v>-5.5270000000000001</v>
      </c>
      <c r="J29" s="49">
        <v>-3.2090000000000001</v>
      </c>
      <c r="K29" s="49">
        <v>-1.915</v>
      </c>
      <c r="L29" s="49">
        <v>-1.74</v>
      </c>
      <c r="M29" s="140"/>
      <c r="N29" s="49">
        <f t="shared" si="6"/>
        <v>-12.391</v>
      </c>
      <c r="P29" s="49">
        <v>-0.59099999999999997</v>
      </c>
      <c r="Q29" s="49">
        <v>-0.26</v>
      </c>
      <c r="R29" s="49">
        <v>-0.29099999999999998</v>
      </c>
      <c r="S29" s="49">
        <v>-0.17399999999999999</v>
      </c>
      <c r="U29" s="49">
        <f t="shared" si="7"/>
        <v>-1.3159999999999998</v>
      </c>
      <c r="W29" s="49">
        <v>-0.14099999999999999</v>
      </c>
      <c r="X29" s="49">
        <v>-0.224</v>
      </c>
      <c r="Y29" s="49">
        <v>-0.24</v>
      </c>
      <c r="Z29" s="49">
        <v>-0.16900000000000001</v>
      </c>
      <c r="AA29" s="50"/>
      <c r="AB29" s="49">
        <f>W29+X29+Y29+Z29</f>
        <v>-0.77400000000000002</v>
      </c>
      <c r="AD29" s="49">
        <v>0</v>
      </c>
      <c r="AE29" s="49">
        <v>0</v>
      </c>
      <c r="AF29" s="49">
        <v>0</v>
      </c>
      <c r="AH29" s="49">
        <f t="shared" si="9"/>
        <v>0</v>
      </c>
    </row>
    <row r="30" spans="1:34" s="51" customFormat="1" ht="16.75">
      <c r="A30" s="51" t="s">
        <v>160</v>
      </c>
      <c r="B30" s="49">
        <v>0</v>
      </c>
      <c r="C30" s="49">
        <v>0</v>
      </c>
      <c r="D30" s="49">
        <v>-0.185</v>
      </c>
      <c r="E30" s="49">
        <v>-2.2149999999999999</v>
      </c>
      <c r="F30" s="140"/>
      <c r="G30" s="49">
        <f t="shared" si="5"/>
        <v>-2.4</v>
      </c>
      <c r="H30" s="140"/>
      <c r="I30" s="49">
        <v>-1.6E-2</v>
      </c>
      <c r="J30" s="49">
        <v>-1.468</v>
      </c>
      <c r="K30" s="49">
        <v>-0.53900000000000003</v>
      </c>
      <c r="L30" s="49">
        <v>-7.7709999999999999</v>
      </c>
      <c r="M30" s="140"/>
      <c r="N30" s="49">
        <f t="shared" si="6"/>
        <v>-9.7940000000000005</v>
      </c>
      <c r="P30" s="49">
        <v>-5.548</v>
      </c>
      <c r="Q30" s="49">
        <v>-1.5580000000000001</v>
      </c>
      <c r="R30" s="49">
        <v>-0.72499999999999998</v>
      </c>
      <c r="S30" s="49">
        <v>-0.44800000000000001</v>
      </c>
      <c r="U30" s="49">
        <f t="shared" si="7"/>
        <v>-8.2789999999999999</v>
      </c>
      <c r="W30" s="49">
        <v>-0.28799999999999998</v>
      </c>
      <c r="X30" s="49">
        <v>-4.8760000000000003</v>
      </c>
      <c r="Y30" s="49">
        <v>-9.8000000000000004E-2</v>
      </c>
      <c r="Z30" s="49">
        <v>-0.14499999999999999</v>
      </c>
      <c r="AA30" s="50"/>
      <c r="AB30" s="49">
        <f t="shared" si="8"/>
        <v>-5.407</v>
      </c>
      <c r="AD30" s="49">
        <v>0</v>
      </c>
      <c r="AE30" s="49">
        <v>0</v>
      </c>
      <c r="AF30" s="49">
        <v>0</v>
      </c>
      <c r="AH30" s="49">
        <f t="shared" si="9"/>
        <v>0</v>
      </c>
    </row>
    <row r="31" spans="1:34" s="51" customFormat="1" ht="16.75">
      <c r="A31" s="51" t="s">
        <v>153</v>
      </c>
      <c r="B31" s="49">
        <v>0</v>
      </c>
      <c r="C31" s="49">
        <v>0</v>
      </c>
      <c r="D31" s="49">
        <v>0</v>
      </c>
      <c r="E31" s="49">
        <v>0</v>
      </c>
      <c r="F31" s="140"/>
      <c r="G31" s="49">
        <f t="shared" si="5"/>
        <v>0</v>
      </c>
      <c r="H31" s="140"/>
      <c r="I31" s="49">
        <v>0</v>
      </c>
      <c r="J31" s="49">
        <v>-0.54200000000000004</v>
      </c>
      <c r="K31" s="49">
        <v>-0.03</v>
      </c>
      <c r="L31" s="49">
        <v>-0.66400000000000003</v>
      </c>
      <c r="M31" s="140"/>
      <c r="N31" s="49">
        <f t="shared" si="6"/>
        <v>-1.2360000000000002</v>
      </c>
      <c r="O31" s="50"/>
      <c r="P31" s="49">
        <v>-1.4830000000000001</v>
      </c>
      <c r="Q31" s="49">
        <v>-0.94799999999999995</v>
      </c>
      <c r="R31" s="49">
        <v>-1.095</v>
      </c>
      <c r="S31" s="49">
        <v>-0.93100000000000005</v>
      </c>
      <c r="T31" s="50"/>
      <c r="U31" s="49">
        <f t="shared" si="7"/>
        <v>-4.4569999999999999</v>
      </c>
      <c r="W31" s="49">
        <v>-2.7789999999999999</v>
      </c>
      <c r="X31" s="49">
        <v>-12.1</v>
      </c>
      <c r="Y31" s="49">
        <v>-1.9370000000000001</v>
      </c>
      <c r="Z31" s="49">
        <v>-1.377</v>
      </c>
      <c r="AB31" s="49">
        <f t="shared" si="8"/>
        <v>-18.192999999999998</v>
      </c>
      <c r="AD31" s="49">
        <v>0</v>
      </c>
      <c r="AE31" s="49">
        <v>0</v>
      </c>
      <c r="AF31" s="49">
        <v>0</v>
      </c>
      <c r="AH31" s="49">
        <f t="shared" si="9"/>
        <v>0</v>
      </c>
    </row>
    <row r="32" spans="1:34" s="51" customFormat="1" ht="16.75">
      <c r="A32" s="48" t="s">
        <v>115</v>
      </c>
      <c r="B32" s="49">
        <v>0</v>
      </c>
      <c r="C32" s="49">
        <v>0</v>
      </c>
      <c r="D32" s="49">
        <v>0</v>
      </c>
      <c r="E32" s="49">
        <v>0</v>
      </c>
      <c r="F32" s="140"/>
      <c r="G32" s="49">
        <f t="shared" si="5"/>
        <v>0</v>
      </c>
      <c r="H32" s="140"/>
      <c r="I32" s="49">
        <v>0</v>
      </c>
      <c r="J32" s="49">
        <v>0</v>
      </c>
      <c r="K32" s="49">
        <v>-0.373</v>
      </c>
      <c r="L32" s="49">
        <v>-1.2629999999999999</v>
      </c>
      <c r="M32" s="140"/>
      <c r="N32" s="49">
        <f t="shared" si="6"/>
        <v>-1.6359999999999999</v>
      </c>
      <c r="O32" s="50"/>
      <c r="P32" s="49">
        <v>0</v>
      </c>
      <c r="Q32" s="49">
        <v>-1.7989999999999999</v>
      </c>
      <c r="R32" s="49">
        <v>0</v>
      </c>
      <c r="S32" s="49">
        <v>0</v>
      </c>
      <c r="T32" s="50"/>
      <c r="U32" s="49">
        <f t="shared" si="7"/>
        <v>-1.7989999999999999</v>
      </c>
      <c r="W32" s="49">
        <v>0</v>
      </c>
      <c r="X32" s="49">
        <v>0</v>
      </c>
      <c r="Y32" s="49">
        <v>0</v>
      </c>
      <c r="Z32" s="49">
        <v>0</v>
      </c>
      <c r="AB32" s="49">
        <f t="shared" si="8"/>
        <v>0</v>
      </c>
      <c r="AD32" s="49">
        <v>0</v>
      </c>
      <c r="AE32" s="49">
        <v>0</v>
      </c>
      <c r="AF32" s="49">
        <v>0</v>
      </c>
      <c r="AH32" s="49">
        <f t="shared" si="9"/>
        <v>0</v>
      </c>
    </row>
    <row r="33" spans="1:34" s="51" customFormat="1" ht="16.75">
      <c r="A33" s="48" t="s">
        <v>154</v>
      </c>
      <c r="B33" s="49">
        <v>-0.10100000000000001</v>
      </c>
      <c r="C33" s="49">
        <v>0.88900000000000001</v>
      </c>
      <c r="D33" s="49">
        <v>-4.2000000000000003E-2</v>
      </c>
      <c r="E33" s="49">
        <v>-0.27900000000000003</v>
      </c>
      <c r="F33" s="140"/>
      <c r="G33" s="49">
        <f t="shared" si="5"/>
        <v>0.46699999999999997</v>
      </c>
      <c r="H33" s="140"/>
      <c r="I33" s="49">
        <v>-4.3999999999999997E-2</v>
      </c>
      <c r="J33" s="49">
        <f>-0.605-J31</f>
        <v>-6.2999999999999945E-2</v>
      </c>
      <c r="K33" s="49">
        <f>0.037-K31</f>
        <v>6.7000000000000004E-2</v>
      </c>
      <c r="L33" s="49">
        <f>-0.759-L31</f>
        <v>-9.4999999999999973E-2</v>
      </c>
      <c r="M33" s="140"/>
      <c r="N33" s="49">
        <f t="shared" si="6"/>
        <v>-0.1349999999999999</v>
      </c>
      <c r="O33" s="50"/>
      <c r="P33" s="49">
        <f>-2.009-P31</f>
        <v>-0.5259999999999998</v>
      </c>
      <c r="Q33" s="49">
        <f>-2.033-Q31</f>
        <v>-1.085</v>
      </c>
      <c r="R33" s="49">
        <f>-1.995-R31</f>
        <v>-0.90000000000000013</v>
      </c>
      <c r="S33" s="49">
        <v>-0.39900000000000002</v>
      </c>
      <c r="T33" s="50"/>
      <c r="U33" s="49">
        <f t="shared" si="7"/>
        <v>-2.91</v>
      </c>
      <c r="W33" s="49">
        <v>-2.9000000000000001E-2</v>
      </c>
      <c r="X33" s="49">
        <v>-0.182</v>
      </c>
      <c r="Y33" s="49">
        <v>-1E-3</v>
      </c>
      <c r="Z33" s="49">
        <v>-8.9999999999999993E-3</v>
      </c>
      <c r="AB33" s="49">
        <f t="shared" si="8"/>
        <v>-0.221</v>
      </c>
      <c r="AD33" s="49">
        <v>-0.109</v>
      </c>
      <c r="AE33" s="49">
        <v>-9.9000000000000005E-2</v>
      </c>
      <c r="AF33" s="49">
        <v>-0.108</v>
      </c>
      <c r="AH33" s="49">
        <f t="shared" si="9"/>
        <v>-0.316</v>
      </c>
    </row>
    <row r="34" spans="1:34" s="51" customFormat="1" ht="16.75">
      <c r="A34" s="48" t="s">
        <v>116</v>
      </c>
      <c r="B34" s="77">
        <v>-7.5659999999999998</v>
      </c>
      <c r="C34" s="77">
        <v>-6.2210000000000001</v>
      </c>
      <c r="D34" s="77">
        <v>-7.3410000000000002</v>
      </c>
      <c r="E34" s="77">
        <v>-8.1639999999999997</v>
      </c>
      <c r="F34" s="78"/>
      <c r="G34" s="77">
        <f t="shared" si="5"/>
        <v>-29.292000000000002</v>
      </c>
      <c r="H34" s="78"/>
      <c r="I34" s="77">
        <v>0</v>
      </c>
      <c r="J34" s="77">
        <v>0</v>
      </c>
      <c r="K34" s="77">
        <v>0</v>
      </c>
      <c r="L34" s="77">
        <v>0</v>
      </c>
      <c r="M34" s="78"/>
      <c r="N34" s="77">
        <f t="shared" si="6"/>
        <v>0</v>
      </c>
      <c r="P34" s="77">
        <v>0</v>
      </c>
      <c r="Q34" s="77">
        <v>0</v>
      </c>
      <c r="R34" s="77">
        <v>0</v>
      </c>
      <c r="S34" s="77">
        <v>0</v>
      </c>
      <c r="U34" s="77">
        <v>0</v>
      </c>
      <c r="W34" s="77">
        <v>0</v>
      </c>
      <c r="X34" s="77">
        <v>0</v>
      </c>
      <c r="Y34" s="77">
        <v>0</v>
      </c>
      <c r="Z34" s="77">
        <v>0</v>
      </c>
      <c r="AB34" s="275">
        <f t="shared" si="8"/>
        <v>0</v>
      </c>
      <c r="AD34" s="77">
        <v>0</v>
      </c>
      <c r="AE34" s="77">
        <v>0</v>
      </c>
      <c r="AF34" s="77">
        <v>0</v>
      </c>
      <c r="AH34" s="275">
        <f t="shared" si="9"/>
        <v>0</v>
      </c>
    </row>
    <row r="35" spans="1:34" s="51" customFormat="1" ht="16.75">
      <c r="A35" s="48" t="s">
        <v>117</v>
      </c>
      <c r="B35" s="74">
        <v>-1.3540000000000001</v>
      </c>
      <c r="C35" s="74">
        <v>-1.6930000000000001</v>
      </c>
      <c r="D35" s="74">
        <v>-0.91200000000000003</v>
      </c>
      <c r="E35" s="74">
        <v>-1.571</v>
      </c>
      <c r="F35" s="78"/>
      <c r="G35" s="74">
        <f t="shared" si="5"/>
        <v>-5.53</v>
      </c>
      <c r="H35" s="78"/>
      <c r="I35" s="74">
        <v>0</v>
      </c>
      <c r="J35" s="74">
        <v>0</v>
      </c>
      <c r="K35" s="74">
        <v>0</v>
      </c>
      <c r="L35" s="74">
        <v>0</v>
      </c>
      <c r="M35" s="78"/>
      <c r="N35" s="74">
        <f t="shared" si="6"/>
        <v>0</v>
      </c>
      <c r="P35" s="74">
        <v>0</v>
      </c>
      <c r="Q35" s="74">
        <v>0</v>
      </c>
      <c r="R35" s="74">
        <v>0</v>
      </c>
      <c r="S35" s="74">
        <v>0</v>
      </c>
      <c r="U35" s="74">
        <v>0</v>
      </c>
      <c r="W35" s="74">
        <v>0</v>
      </c>
      <c r="X35" s="74">
        <v>0</v>
      </c>
      <c r="Y35" s="74">
        <v>0</v>
      </c>
      <c r="Z35" s="74">
        <v>0</v>
      </c>
      <c r="AB35" s="276">
        <f t="shared" si="8"/>
        <v>0</v>
      </c>
      <c r="AD35" s="74">
        <v>0</v>
      </c>
      <c r="AE35" s="74">
        <v>0</v>
      </c>
      <c r="AF35" s="74">
        <v>0</v>
      </c>
      <c r="AH35" s="276">
        <f>SUM(AD35:AF35)</f>
        <v>0</v>
      </c>
    </row>
    <row r="36" spans="1:34" s="51" customFormat="1" ht="33.5">
      <c r="A36" s="80" t="s">
        <v>161</v>
      </c>
      <c r="B36" s="81">
        <f>SUM(B26:B35)+B23</f>
        <v>60.563000000000002</v>
      </c>
      <c r="C36" s="81">
        <f>SUM(C26:C35)+C23</f>
        <v>56.406999999999996</v>
      </c>
      <c r="D36" s="81">
        <f>SUM(D26:D35)+D23</f>
        <v>58.507000000000005</v>
      </c>
      <c r="E36" s="81">
        <f>SUM(E26:E35)+E23</f>
        <v>70.781999999999996</v>
      </c>
      <c r="F36" s="155"/>
      <c r="G36" s="81">
        <f t="shared" si="5"/>
        <v>246.25900000000001</v>
      </c>
      <c r="H36" s="204"/>
      <c r="I36" s="81">
        <f>SUM(I26:I35)+I23</f>
        <v>66.456000000000003</v>
      </c>
      <c r="J36" s="81">
        <f>SUM(J26:J35)+J23</f>
        <v>67.665000000000006</v>
      </c>
      <c r="K36" s="81">
        <f>SUM(K26:K35)+K23</f>
        <v>70.938000000000002</v>
      </c>
      <c r="L36" s="81">
        <f>SUM(L26:L35)+L23</f>
        <v>79.562999999999988</v>
      </c>
      <c r="M36" s="204"/>
      <c r="N36" s="81">
        <f t="shared" si="6"/>
        <v>284.62200000000001</v>
      </c>
      <c r="P36" s="81">
        <f>SUM(P26:P35)+P23</f>
        <v>75.900000000000006</v>
      </c>
      <c r="Q36" s="81">
        <f>SUM(Q26:Q35)+Q23</f>
        <v>76.60799999999999</v>
      </c>
      <c r="R36" s="81">
        <f>SUM(R26:R35)+R23</f>
        <v>73.213000000000008</v>
      </c>
      <c r="S36" s="81">
        <f>SUM(S26:S35)+S23</f>
        <v>78.468999999999994</v>
      </c>
      <c r="T36" s="216"/>
      <c r="U36" s="81">
        <f>SUM(P36:T36)</f>
        <v>304.19</v>
      </c>
      <c r="W36" s="81">
        <f>SUM(W26:W35)+W23</f>
        <v>77.119</v>
      </c>
      <c r="X36" s="81">
        <f>SUM(X26:X35)+X23</f>
        <v>76.688000000000002</v>
      </c>
      <c r="Y36" s="81">
        <f>SUM(Y26:Y35)+Y23</f>
        <v>73.259</v>
      </c>
      <c r="Z36" s="81">
        <f>SUM(Z26:Z35)+Z23</f>
        <v>82.381</v>
      </c>
      <c r="AB36" s="81">
        <f>SUM(AB26:AB35)+AB23</f>
        <v>309.447</v>
      </c>
      <c r="AD36" s="81">
        <f>SUM(AD26:AD35)+AD23</f>
        <v>78.432999999999993</v>
      </c>
      <c r="AE36" s="81">
        <f>SUM(AE26:AE35)+AE23</f>
        <v>74.697999999999993</v>
      </c>
      <c r="AF36" s="81">
        <f>SUM(AF26:AF35)+AF23</f>
        <v>80.298999999999992</v>
      </c>
      <c r="AH36" s="81">
        <f>SUM(AH26:AH35)+AH23</f>
        <v>233.43000000000004</v>
      </c>
    </row>
    <row r="37" spans="1:34" s="51" customFormat="1" ht="16.75">
      <c r="A37" s="44" t="s">
        <v>156</v>
      </c>
      <c r="B37" s="79">
        <v>0.32</v>
      </c>
      <c r="C37" s="79">
        <v>0.27200000000000002</v>
      </c>
      <c r="D37" s="79">
        <v>0.26900000000000002</v>
      </c>
      <c r="E37" s="79">
        <v>0.312</v>
      </c>
      <c r="F37" s="154"/>
      <c r="G37" s="79">
        <v>0.29299999999999998</v>
      </c>
      <c r="H37" s="154"/>
      <c r="I37" s="79">
        <v>0.32900000000000001</v>
      </c>
      <c r="J37" s="79">
        <v>0.314</v>
      </c>
      <c r="K37" s="79">
        <v>0.313</v>
      </c>
      <c r="L37" s="79">
        <v>0.33700000000000002</v>
      </c>
      <c r="M37" s="154"/>
      <c r="N37" s="79">
        <v>0.32300000000000001</v>
      </c>
      <c r="P37" s="79">
        <v>0.34599999999999997</v>
      </c>
      <c r="Q37" s="79">
        <v>0.34300000000000003</v>
      </c>
      <c r="R37" s="79">
        <v>0.32500000000000001</v>
      </c>
      <c r="S37" s="79">
        <v>0.33100000000000002</v>
      </c>
      <c r="U37" s="79">
        <v>0.33600000000000002</v>
      </c>
      <c r="W37" s="79">
        <v>0.35499999999999998</v>
      </c>
      <c r="X37" s="79">
        <v>0.36399999999999999</v>
      </c>
      <c r="Y37" s="79">
        <v>0.33500000000000002</v>
      </c>
      <c r="Z37" s="79">
        <v>0.311</v>
      </c>
      <c r="AA37" s="217"/>
      <c r="AB37" s="79">
        <v>0.33900000000000002</v>
      </c>
      <c r="AD37" s="79">
        <v>0.35399999999999998</v>
      </c>
      <c r="AE37" s="79">
        <v>0.35499999999999998</v>
      </c>
      <c r="AF37" s="79">
        <v>0.35799999999999998</v>
      </c>
      <c r="AH37" s="79">
        <v>0.35599999999999998</v>
      </c>
    </row>
    <row r="38" spans="1:34" s="51" customFormat="1" ht="16.75">
      <c r="A38" s="80"/>
      <c r="B38" s="55"/>
      <c r="C38" s="55"/>
      <c r="D38" s="55"/>
      <c r="E38" s="55"/>
      <c r="F38" s="128"/>
      <c r="G38" s="55"/>
      <c r="H38" s="128"/>
      <c r="I38" s="55"/>
      <c r="J38" s="55"/>
      <c r="K38" s="55"/>
      <c r="L38" s="55"/>
      <c r="M38" s="128"/>
      <c r="N38" s="55"/>
      <c r="P38" s="55"/>
      <c r="Q38" s="55"/>
      <c r="R38" s="55"/>
      <c r="S38" s="55"/>
      <c r="U38" s="55"/>
    </row>
    <row r="39" spans="1:34" s="37" customFormat="1"/>
    <row r="40" spans="1:34" s="37" customFormat="1"/>
    <row r="41" spans="1:34" s="37" customFormat="1"/>
    <row r="42" spans="1:34" s="37" customFormat="1"/>
    <row r="43" spans="1:34" s="37" customFormat="1"/>
    <row r="44" spans="1:34" s="37" customFormat="1"/>
    <row r="45" spans="1:34" s="37" customFormat="1"/>
    <row r="46" spans="1:34" s="37" customFormat="1"/>
    <row r="47" spans="1:34" s="37" customFormat="1"/>
    <row r="48" spans="1:34" s="37" customFormat="1"/>
    <row r="49" s="37" customFormat="1"/>
    <row r="50" s="37" customFormat="1"/>
    <row r="51" s="37" customFormat="1"/>
    <row r="52" s="37" customFormat="1"/>
    <row r="53" s="37" customFormat="1"/>
    <row r="54" s="37" customFormat="1"/>
    <row r="55" s="37" customFormat="1"/>
    <row r="56" s="37" customFormat="1"/>
    <row r="57" s="37" customFormat="1"/>
    <row r="58" s="37" customFormat="1"/>
    <row r="59" s="37" customFormat="1"/>
    <row r="60" s="37" customFormat="1"/>
    <row r="61" s="37" customFormat="1"/>
    <row r="62" s="37" customFormat="1"/>
    <row r="63" s="37" customFormat="1"/>
    <row r="64" s="37" customFormat="1"/>
    <row r="65" s="37" customFormat="1"/>
    <row r="66" s="37" customFormat="1"/>
    <row r="67" s="37" customFormat="1"/>
    <row r="68" s="37" customFormat="1"/>
    <row r="69" s="37" customFormat="1"/>
    <row r="70" s="37" customFormat="1"/>
    <row r="71" s="37" customFormat="1"/>
    <row r="72" s="37" customFormat="1"/>
    <row r="73" s="37" customFormat="1"/>
    <row r="74" s="37" customFormat="1"/>
    <row r="75" s="37" customFormat="1"/>
    <row r="76" s="37" customFormat="1"/>
    <row r="77" s="37" customFormat="1"/>
    <row r="78" s="37" customFormat="1"/>
    <row r="79" s="37" customFormat="1"/>
    <row r="80" s="37" customFormat="1"/>
    <row r="81" s="37" customFormat="1"/>
    <row r="82" s="37" customFormat="1"/>
    <row r="83" s="37" customFormat="1"/>
    <row r="84" s="37" customFormat="1"/>
    <row r="85" s="37" customFormat="1"/>
    <row r="86" s="37" customFormat="1"/>
    <row r="87" s="37" customFormat="1"/>
    <row r="88" s="37" customFormat="1"/>
    <row r="89" s="37" customFormat="1"/>
    <row r="90" s="37" customFormat="1"/>
    <row r="91" s="37" customFormat="1"/>
    <row r="92" s="37" customFormat="1"/>
    <row r="93" s="37" customFormat="1"/>
    <row r="94" s="37" customFormat="1"/>
    <row r="95" s="37" customFormat="1"/>
    <row r="96" s="37" customFormat="1"/>
    <row r="97" s="37" customFormat="1"/>
    <row r="98" s="37" customFormat="1"/>
    <row r="99" s="37" customFormat="1"/>
    <row r="100" s="37" customFormat="1"/>
    <row r="101" s="37" customFormat="1"/>
    <row r="102" s="37" customFormat="1"/>
    <row r="103" s="37" customFormat="1"/>
    <row r="104" s="37" customFormat="1"/>
    <row r="105" s="37" customFormat="1"/>
    <row r="106" s="37" customFormat="1"/>
    <row r="107" s="37" customFormat="1"/>
    <row r="108" s="37" customFormat="1"/>
    <row r="109" s="37" customFormat="1"/>
    <row r="110" s="37" customFormat="1"/>
    <row r="111" s="37" customFormat="1"/>
    <row r="112" s="37" customFormat="1"/>
    <row r="113" s="37" customFormat="1"/>
    <row r="114" s="37" customFormat="1"/>
    <row r="115" s="37" customFormat="1"/>
    <row r="116" s="37" customFormat="1"/>
    <row r="117" s="37" customFormat="1"/>
    <row r="118" s="37" customFormat="1"/>
    <row r="119" s="37" customFormat="1"/>
    <row r="120" s="37" customFormat="1"/>
    <row r="121" s="37" customFormat="1"/>
    <row r="122" s="37" customFormat="1"/>
    <row r="123" s="37" customFormat="1"/>
    <row r="124" s="37" customFormat="1"/>
    <row r="125" s="37" customFormat="1"/>
    <row r="126" s="37" customFormat="1"/>
    <row r="127" s="37" customFormat="1"/>
    <row r="128" s="37" customFormat="1"/>
    <row r="129" s="37" customFormat="1"/>
    <row r="130" s="37" customFormat="1"/>
    <row r="131" s="37" customFormat="1"/>
    <row r="132" s="37" customFormat="1"/>
    <row r="133" s="37" customFormat="1"/>
    <row r="134" s="37" customFormat="1"/>
    <row r="135" s="37" customFormat="1"/>
    <row r="136" s="37" customFormat="1"/>
    <row r="137" s="37" customFormat="1"/>
    <row r="138" s="37" customFormat="1"/>
    <row r="139" s="37" customFormat="1"/>
    <row r="140" s="37" customFormat="1"/>
    <row r="141" s="37" customFormat="1"/>
    <row r="142" s="37" customFormat="1"/>
    <row r="143" s="37" customFormat="1"/>
    <row r="144" s="37" customFormat="1"/>
    <row r="145" s="37" customFormat="1"/>
    <row r="146" s="37" customFormat="1"/>
    <row r="147" s="37" customFormat="1"/>
    <row r="148" s="37" customFormat="1"/>
    <row r="149" s="37" customFormat="1"/>
    <row r="150" s="37" customFormat="1"/>
    <row r="151" s="37" customFormat="1"/>
    <row r="152" s="37" customFormat="1"/>
    <row r="153" s="37" customFormat="1"/>
    <row r="154" s="37" customFormat="1"/>
    <row r="155" s="37" customFormat="1"/>
    <row r="156" s="37" customFormat="1"/>
    <row r="157" s="37" customFormat="1"/>
    <row r="158" s="37" customFormat="1"/>
    <row r="159" s="37" customFormat="1"/>
    <row r="160" s="37" customFormat="1"/>
    <row r="161" s="37" customFormat="1"/>
    <row r="162" s="37" customFormat="1"/>
    <row r="163" s="37" customFormat="1"/>
    <row r="164" s="37" customFormat="1"/>
    <row r="165" s="37" customFormat="1"/>
    <row r="166" s="37" customFormat="1"/>
    <row r="167" s="37" customFormat="1"/>
    <row r="168" s="37" customFormat="1"/>
    <row r="169" s="37" customFormat="1"/>
    <row r="170" s="37" customFormat="1"/>
    <row r="171" s="37" customFormat="1"/>
    <row r="172" s="37" customFormat="1"/>
    <row r="173" s="37" customFormat="1"/>
    <row r="174" s="37" customFormat="1"/>
    <row r="175" s="37" customFormat="1"/>
    <row r="176" s="37" customFormat="1"/>
    <row r="177" s="37" customFormat="1"/>
    <row r="178" s="37" customFormat="1"/>
    <row r="179" s="37" customFormat="1"/>
    <row r="180" s="37" customFormat="1"/>
    <row r="181" s="37" customFormat="1"/>
    <row r="182" s="37" customFormat="1"/>
    <row r="183" s="37" customFormat="1"/>
    <row r="184" s="37" customFormat="1"/>
    <row r="185" s="37" customFormat="1"/>
    <row r="186" s="37" customFormat="1"/>
    <row r="187" s="37" customFormat="1"/>
    <row r="188" s="37" customFormat="1"/>
    <row r="189" s="37" customFormat="1"/>
    <row r="190" s="37" customFormat="1"/>
    <row r="191" s="37" customFormat="1"/>
    <row r="192" s="37" customFormat="1"/>
    <row r="193" s="37" customFormat="1"/>
    <row r="194" s="37" customFormat="1"/>
    <row r="195" s="37" customFormat="1"/>
    <row r="196" s="37" customFormat="1"/>
    <row r="197" s="37" customFormat="1"/>
    <row r="198" s="37" customFormat="1"/>
    <row r="199" s="37" customFormat="1"/>
    <row r="200" s="37" customFormat="1"/>
  </sheetData>
  <mergeCells count="5">
    <mergeCell ref="B3:E3"/>
    <mergeCell ref="I3:L3"/>
    <mergeCell ref="P3:S3"/>
    <mergeCell ref="W3:Z3"/>
    <mergeCell ref="AD3:AF3"/>
  </mergeCells>
  <pageMargins left="0.25" right="0.25" top="0.75" bottom="0.75" header="0.3" footer="0.3"/>
  <pageSetup scale="7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A882C0C390684D87D5243A2B78946A" ma:contentTypeVersion="6" ma:contentTypeDescription="Create a new document." ma:contentTypeScope="" ma:versionID="1d3858ff54fd33814c738c16dc5b5601">
  <xsd:schema xmlns:xsd="http://www.w3.org/2001/XMLSchema" xmlns:xs="http://www.w3.org/2001/XMLSchema" xmlns:p="http://schemas.microsoft.com/office/2006/metadata/properties" xmlns:ns2="d407aa25-4627-4000-a98e-64b34ff8b5da" xmlns:ns3="7b20869c-b514-4b89-9e09-969949176dab" targetNamespace="http://schemas.microsoft.com/office/2006/metadata/properties" ma:root="true" ma:fieldsID="6d137ab891e7c49bc02387996bc91df2" ns2:_="" ns3:_="">
    <xsd:import namespace="d407aa25-4627-4000-a98e-64b34ff8b5da"/>
    <xsd:import namespace="7b20869c-b514-4b89-9e09-969949176d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07aa25-4627-4000-a98e-64b34ff8b5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20869c-b514-4b89-9e09-969949176d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F8398F-1970-4531-807E-94DFF47DCC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07aa25-4627-4000-a98e-64b34ff8b5da"/>
    <ds:schemaRef ds:uri="7b20869c-b514-4b89-9e09-969949176d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025FB0-8DCC-4958-AE4C-8B6BF3A10384}">
  <ds:schemaRefs>
    <ds:schemaRef ds:uri="http://schemas.microsoft.com/office/infopath/2007/PartnerControls"/>
    <ds:schemaRef ds:uri="http://schemas.openxmlformats.org/package/2006/metadata/core-properties"/>
    <ds:schemaRef ds:uri="7b20869c-b514-4b89-9e09-969949176dab"/>
    <ds:schemaRef ds:uri="http://schemas.microsoft.com/office/2006/documentManagement/types"/>
    <ds:schemaRef ds:uri="http://purl.org/dc/terms/"/>
    <ds:schemaRef ds:uri="http://purl.org/dc/elements/1.1/"/>
    <ds:schemaRef ds:uri="http://schemas.microsoft.com/office/2006/metadata/properties"/>
    <ds:schemaRef ds:uri="d407aa25-4627-4000-a98e-64b34ff8b5da"/>
    <ds:schemaRef ds:uri="http://www.w3.org/XML/1998/namespace"/>
    <ds:schemaRef ds:uri="http://purl.org/dc/dcmitype/"/>
  </ds:schemaRefs>
</ds:datastoreItem>
</file>

<file path=customXml/itemProps3.xml><?xml version="1.0" encoding="utf-8"?>
<ds:datastoreItem xmlns:ds="http://schemas.openxmlformats.org/officeDocument/2006/customXml" ds:itemID="{1A16E19C-3B75-43AC-81A8-5BB6BF0FF6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17</vt:i4>
      </vt:variant>
    </vt:vector>
  </HeadingPairs>
  <TitlesOfParts>
    <vt:vector size="37" baseType="lpstr">
      <vt:lpstr>Table of Contents</vt:lpstr>
      <vt:lpstr>Subscription KPIs</vt:lpstr>
      <vt:lpstr>Cash Generation Model</vt:lpstr>
      <vt:lpstr>Summary P&amp;L</vt:lpstr>
      <vt:lpstr>Recurring Summary</vt:lpstr>
      <vt:lpstr>Nonrecurring Summary</vt:lpstr>
      <vt:lpstr>Constant Currency</vt:lpstr>
      <vt:lpstr>Gross Profit</vt:lpstr>
      <vt:lpstr>Operating Expenses</vt:lpstr>
      <vt:lpstr>Operating Margins</vt:lpstr>
      <vt:lpstr>EBITDA Margins</vt:lpstr>
      <vt:lpstr>Other Expense, Tax &amp; NI</vt:lpstr>
      <vt:lpstr>EPS &amp; DSO</vt:lpstr>
      <vt:lpstr>Debt</vt:lpstr>
      <vt:lpstr>Divestiture Revenue</vt:lpstr>
      <vt:lpstr>&gt;&gt;&gt;</vt:lpstr>
      <vt:lpstr>Revenue Metrics Reconciliation</vt:lpstr>
      <vt:lpstr>SaaS Revenue Reconciliation</vt:lpstr>
      <vt:lpstr>Footnotes</vt:lpstr>
      <vt:lpstr> Suppl. Info NG Measures</vt:lpstr>
      <vt:lpstr>' Suppl. Info NG Measures'!Print_Area</vt:lpstr>
      <vt:lpstr>'Constant Currency'!Print_Area</vt:lpstr>
      <vt:lpstr>Debt!Print_Area</vt:lpstr>
      <vt:lpstr>'EBITDA Margins'!Print_Area</vt:lpstr>
      <vt:lpstr>'EPS &amp; DSO'!Print_Area</vt:lpstr>
      <vt:lpstr>Footnotes!Print_Area</vt:lpstr>
      <vt:lpstr>'Gross Profit'!Print_Area</vt:lpstr>
      <vt:lpstr>'Nonrecurring Summary'!Print_Area</vt:lpstr>
      <vt:lpstr>'Operating Expenses'!Print_Area</vt:lpstr>
      <vt:lpstr>'Operating Margins'!Print_Area</vt:lpstr>
      <vt:lpstr>'Other Expense, Tax &amp; NI'!Print_Area</vt:lpstr>
      <vt:lpstr>'Recurring Summary'!Print_Area</vt:lpstr>
      <vt:lpstr>'Revenue Metrics Reconciliation'!Print_Area</vt:lpstr>
      <vt:lpstr>'SaaS Revenue Reconciliation'!Print_Area</vt:lpstr>
      <vt:lpstr>'Subscription KPIs'!Print_Area</vt:lpstr>
      <vt:lpstr>'Summary P&amp;L'!Print_Area</vt:lpstr>
      <vt:lpstr>' Suppl. Info NG Measures'!Print_Titles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Becker, Keri</dc:creator>
  <cp:keywords/>
  <dc:description/>
  <cp:lastModifiedBy>Frankel, Matthew</cp:lastModifiedBy>
  <cp:revision/>
  <dcterms:created xsi:type="dcterms:W3CDTF">2021-05-20T20:02:08Z</dcterms:created>
  <dcterms:modified xsi:type="dcterms:W3CDTF">2025-01-13T18:16:52Z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0x010100A6A882C0C390684D87D5243A2B78946A</vt:lpwstr>
  </property>
  <property fmtid="{D5CDD505-2E9C-101B-9397-08002B2CF9AE}" pid="5" name="Order">
    <vt:r8>6365200</vt:r8>
  </property>
</Properties>
</file>